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26" windowWidth="22335" windowHeight="12840" activeTab="2"/>
  </bookViews>
  <sheets>
    <sheet name="Voit 2035" sheetId="1" r:id="rId1"/>
    <sheet name="France" sheetId="2" r:id="rId2"/>
    <sheet name="Europe" sheetId="3" r:id="rId3"/>
  </sheets>
  <definedNames>
    <definedName name="_xlnm.Print_Area" localSheetId="2">'Europe'!$A$1:$C$28</definedName>
    <definedName name="_xlnm.Print_Area" localSheetId="1">'France'!$A$1:$F$28</definedName>
  </definedNames>
  <calcPr fullCalcOnLoad="1"/>
</workbook>
</file>

<file path=xl/sharedStrings.xml><?xml version="1.0" encoding="utf-8"?>
<sst xmlns="http://schemas.openxmlformats.org/spreadsheetml/2006/main" count="119" uniqueCount="45">
  <si>
    <t>Elect</t>
  </si>
  <si>
    <t>Hybrides</t>
  </si>
  <si>
    <t>Hyb</t>
  </si>
  <si>
    <t>Cumul</t>
  </si>
  <si>
    <t>Therm Oil</t>
  </si>
  <si>
    <t>Therm Es</t>
  </si>
  <si>
    <t>Therm Tot / an</t>
  </si>
  <si>
    <t>Variat</t>
  </si>
  <si>
    <t xml:space="preserve">       Données réelles</t>
  </si>
  <si>
    <t>Variat déduit</t>
  </si>
  <si>
    <t xml:space="preserve">       Données réelles immatriculations voitures neuves</t>
  </si>
  <si>
    <t>Hybri Rech</t>
  </si>
  <si>
    <t>ToTal Voit</t>
  </si>
  <si>
    <t xml:space="preserve">Verif </t>
  </si>
  <si>
    <t>Elect + Es</t>
  </si>
  <si>
    <t>Oil</t>
  </si>
  <si>
    <t>Total Hybrid</t>
  </si>
  <si>
    <t>Total Elect + Rech</t>
  </si>
  <si>
    <t>Cumul 15 ans</t>
  </si>
  <si>
    <t>ES</t>
  </si>
  <si>
    <t>Dies</t>
  </si>
  <si>
    <t>Rech</t>
  </si>
  <si>
    <t>autres</t>
  </si>
  <si>
    <t>Bicarbu Es +</t>
  </si>
  <si>
    <t>Hypothèses de variations</t>
  </si>
  <si>
    <t>Parc de voitures</t>
  </si>
  <si>
    <t>Données  prises en compte</t>
  </si>
  <si>
    <t>Motorisation</t>
  </si>
  <si>
    <t>Hyb Rech</t>
  </si>
  <si>
    <t>Hyb Full</t>
  </si>
  <si>
    <t xml:space="preserve">Hyb Tot </t>
  </si>
  <si>
    <t>% mois</t>
  </si>
  <si>
    <t xml:space="preserve">Therm Tot </t>
  </si>
  <si>
    <t>Autres motor</t>
  </si>
  <si>
    <t>Total mois</t>
  </si>
  <si>
    <t>Prev 2023</t>
  </si>
  <si>
    <t>Cumul 2023</t>
  </si>
  <si>
    <t xml:space="preserve">Total </t>
  </si>
  <si>
    <t>Aut motor</t>
  </si>
  <si>
    <t>% cumul</t>
  </si>
  <si>
    <t>dont Diesel</t>
  </si>
  <si>
    <t>Immatr en 2022</t>
  </si>
  <si>
    <t>depuis 09/22</t>
  </si>
  <si>
    <t>à 9 mois</t>
  </si>
  <si>
    <t>à 5 mois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</si>
</sst>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"/>
    <numFmt numFmtId="168" formatCode="mmm\-yyyy"/>
    <numFmt numFmtId="169" formatCode="0.0000000"/>
    <numFmt numFmtId="170" formatCode="0.000000"/>
    <numFmt numFmtId="171" formatCode="_-* #,##0.0\ _€_-;\-* #,##0.0\ _€_-;_-* &quot;-&quot;??\ _€_-;_-@_-"/>
    <numFmt numFmtId="172" formatCode="_-* #,##0\ _€_-;\-* #,##0\ _€_-;_-* &quot;-&quot;??\ _€_-;_-@_-"/>
    <numFmt numFmtId="173" formatCode="&quot;Vrai&quot;;&quot;Vrai&quot;;&quot;Faux&quot;"/>
    <numFmt numFmtId="174" formatCode="&quot;Actif&quot;;&quot;Actif&quot;;&quot;Inactif&quot;"/>
    <numFmt numFmtId="175" formatCode="0.0%"/>
    <numFmt numFmtId="176" formatCode="0.00000000"/>
  </numFmts>
  <fonts count="1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sz val="10"/>
      <color indexed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9" fontId="0" fillId="0" borderId="0" xfId="21" applyAlignment="1">
      <alignment/>
    </xf>
    <xf numFmtId="172" fontId="3" fillId="0" borderId="0" xfId="17" applyNumberFormat="1" applyFont="1" applyAlignment="1">
      <alignment/>
    </xf>
    <xf numFmtId="172" fontId="3" fillId="3" borderId="0" xfId="17" applyNumberFormat="1" applyFont="1" applyFill="1" applyAlignment="1">
      <alignment/>
    </xf>
    <xf numFmtId="9" fontId="0" fillId="3" borderId="0" xfId="0" applyNumberFormat="1" applyFill="1" applyAlignment="1">
      <alignment/>
    </xf>
    <xf numFmtId="172" fontId="3" fillId="4" borderId="0" xfId="17" applyNumberFormat="1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left"/>
    </xf>
    <xf numFmtId="9" fontId="0" fillId="4" borderId="0" xfId="21" applyFill="1" applyAlignment="1">
      <alignment/>
    </xf>
    <xf numFmtId="9" fontId="0" fillId="0" borderId="0" xfId="21" applyAlignment="1">
      <alignment/>
    </xf>
    <xf numFmtId="9" fontId="0" fillId="3" borderId="0" xfId="21" applyFill="1" applyAlignment="1">
      <alignment/>
    </xf>
    <xf numFmtId="172" fontId="3" fillId="5" borderId="0" xfId="17" applyNumberFormat="1" applyFont="1" applyFill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72" fontId="3" fillId="6" borderId="0" xfId="17" applyNumberFormat="1" applyFont="1" applyFill="1" applyAlignment="1">
      <alignment/>
    </xf>
    <xf numFmtId="0" fontId="0" fillId="7" borderId="0" xfId="0" applyFill="1" applyAlignment="1">
      <alignment/>
    </xf>
    <xf numFmtId="172" fontId="3" fillId="7" borderId="0" xfId="17" applyNumberFormat="1" applyFont="1" applyFill="1" applyAlignment="1">
      <alignment/>
    </xf>
    <xf numFmtId="172" fontId="3" fillId="0" borderId="0" xfId="17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9" fontId="3" fillId="0" borderId="0" xfId="21" applyFont="1" applyAlignment="1">
      <alignment/>
    </xf>
    <xf numFmtId="0" fontId="6" fillId="0" borderId="0" xfId="0" applyFont="1" applyAlignment="1">
      <alignment/>
    </xf>
    <xf numFmtId="172" fontId="0" fillId="4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6" fillId="5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7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72" fontId="6" fillId="4" borderId="0" xfId="17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5" fontId="3" fillId="0" borderId="0" xfId="21" applyNumberFormat="1" applyFont="1" applyAlignment="1">
      <alignment horizontal="center"/>
    </xf>
    <xf numFmtId="175" fontId="0" fillId="4" borderId="0" xfId="21" applyNumberFormat="1" applyFill="1" applyAlignment="1">
      <alignment/>
    </xf>
    <xf numFmtId="0" fontId="2" fillId="0" borderId="0" xfId="0" applyFont="1" applyFill="1" applyBorder="1" applyAlignment="1">
      <alignment/>
    </xf>
    <xf numFmtId="17" fontId="3" fillId="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3" fillId="0" borderId="0" xfId="21" applyNumberFormat="1" applyFont="1" applyFill="1" applyAlignment="1">
      <alignment/>
    </xf>
    <xf numFmtId="175" fontId="6" fillId="0" borderId="0" xfId="21" applyNumberFormat="1" applyFont="1" applyFill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/>
    </xf>
    <xf numFmtId="175" fontId="3" fillId="4" borderId="0" xfId="21" applyNumberFormat="1" applyFont="1" applyFill="1" applyAlignment="1">
      <alignment/>
    </xf>
    <xf numFmtId="175" fontId="6" fillId="4" borderId="0" xfId="21" applyNumberFormat="1" applyFont="1" applyFill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/>
    </xf>
    <xf numFmtId="175" fontId="3" fillId="5" borderId="0" xfId="21" applyNumberFormat="1" applyFont="1" applyFill="1" applyAlignment="1">
      <alignment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/>
    </xf>
    <xf numFmtId="175" fontId="3" fillId="7" borderId="0" xfId="21" applyNumberFormat="1" applyFont="1" applyFill="1" applyAlignment="1">
      <alignment/>
    </xf>
    <xf numFmtId="175" fontId="3" fillId="7" borderId="0" xfId="21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5" fontId="3" fillId="2" borderId="0" xfId="21" applyNumberFormat="1" applyFont="1" applyFill="1" applyAlignment="1">
      <alignment/>
    </xf>
    <xf numFmtId="175" fontId="6" fillId="2" borderId="0" xfId="21" applyNumberFormat="1" applyFont="1" applyFill="1" applyAlignment="1">
      <alignment/>
    </xf>
    <xf numFmtId="0" fontId="3" fillId="8" borderId="0" xfId="0" applyFont="1" applyFill="1" applyAlignment="1">
      <alignment/>
    </xf>
    <xf numFmtId="0" fontId="3" fillId="8" borderId="0" xfId="0" applyFont="1" applyFill="1" applyAlignment="1">
      <alignment/>
    </xf>
    <xf numFmtId="175" fontId="3" fillId="8" borderId="0" xfId="21" applyNumberFormat="1" applyFont="1" applyFill="1" applyAlignment="1">
      <alignment/>
    </xf>
    <xf numFmtId="175" fontId="6" fillId="8" borderId="0" xfId="21" applyNumberFormat="1" applyFont="1" applyFill="1" applyAlignment="1">
      <alignment/>
    </xf>
    <xf numFmtId="175" fontId="6" fillId="4" borderId="0" xfId="21" applyNumberFormat="1" applyFont="1" applyFill="1" applyAlignment="1">
      <alignment/>
    </xf>
    <xf numFmtId="10" fontId="3" fillId="0" borderId="0" xfId="21" applyNumberFormat="1" applyFont="1" applyAlignment="1">
      <alignment/>
    </xf>
    <xf numFmtId="175" fontId="3" fillId="0" borderId="0" xfId="21" applyNumberFormat="1" applyFont="1" applyAlignment="1">
      <alignment/>
    </xf>
    <xf numFmtId="17" fontId="3" fillId="3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5" fontId="3" fillId="5" borderId="0" xfId="21" applyNumberFormat="1" applyFont="1" applyFill="1" applyAlignment="1">
      <alignment/>
    </xf>
    <xf numFmtId="0" fontId="7" fillId="9" borderId="0" xfId="0" applyFont="1" applyFill="1" applyAlignment="1">
      <alignment/>
    </xf>
    <xf numFmtId="175" fontId="8" fillId="9" borderId="0" xfId="21" applyNumberFormat="1" applyFont="1" applyFill="1" applyAlignment="1">
      <alignment/>
    </xf>
    <xf numFmtId="0" fontId="9" fillId="9" borderId="0" xfId="0" applyFont="1" applyFill="1" applyAlignment="1">
      <alignment/>
    </xf>
    <xf numFmtId="175" fontId="7" fillId="9" borderId="0" xfId="21" applyNumberFormat="1" applyFont="1" applyFill="1" applyAlignment="1">
      <alignment/>
    </xf>
    <xf numFmtId="0" fontId="8" fillId="9" borderId="0" xfId="0" applyFont="1" applyFill="1" applyAlignment="1">
      <alignment/>
    </xf>
    <xf numFmtId="0" fontId="10" fillId="0" borderId="0" xfId="0" applyFont="1" applyFill="1" applyAlignment="1">
      <alignment/>
    </xf>
    <xf numFmtId="175" fontId="11" fillId="0" borderId="0" xfId="21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0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5" fontId="8" fillId="4" borderId="0" xfId="21" applyNumberFormat="1" applyFont="1" applyFill="1" applyAlignment="1">
      <alignment/>
    </xf>
    <xf numFmtId="175" fontId="8" fillId="0" borderId="0" xfId="21" applyNumberFormat="1" applyFont="1" applyFill="1" applyAlignment="1">
      <alignment/>
    </xf>
    <xf numFmtId="0" fontId="7" fillId="5" borderId="0" xfId="0" applyFont="1" applyFill="1" applyAlignment="1">
      <alignment/>
    </xf>
    <xf numFmtId="175" fontId="7" fillId="5" borderId="0" xfId="21" applyNumberFormat="1" applyFont="1" applyFill="1" applyAlignment="1">
      <alignment/>
    </xf>
    <xf numFmtId="175" fontId="7" fillId="7" borderId="0" xfId="21" applyNumberFormat="1" applyFont="1" applyFill="1" applyAlignment="1">
      <alignment/>
    </xf>
    <xf numFmtId="175" fontId="8" fillId="2" borderId="0" xfId="21" applyNumberFormat="1" applyFont="1" applyFill="1" applyAlignment="1">
      <alignment/>
    </xf>
    <xf numFmtId="0" fontId="7" fillId="0" borderId="0" xfId="0" applyFont="1" applyFill="1" applyAlignment="1">
      <alignment/>
    </xf>
    <xf numFmtId="175" fontId="8" fillId="8" borderId="0" xfId="21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10" fontId="3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175" fontId="3" fillId="3" borderId="0" xfId="21" applyNumberFormat="1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172" fontId="3" fillId="10" borderId="0" xfId="17" applyNumberFormat="1" applyFont="1" applyFill="1" applyAlignment="1">
      <alignment/>
    </xf>
    <xf numFmtId="172" fontId="3" fillId="1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P27" sqref="P27"/>
      <selection activeCell="K33" sqref="K33"/>
    </sheetView>
  </sheetViews>
  <sheetFormatPr defaultColWidth="11.421875" defaultRowHeight="12.75"/>
  <cols>
    <col min="1" max="1" width="16.28125" style="0" customWidth="1"/>
    <col min="2" max="2" width="10.00390625" style="0" customWidth="1"/>
    <col min="3" max="3" width="12.57421875" style="0" customWidth="1"/>
    <col min="4" max="13" width="12.00390625" style="0" customWidth="1"/>
    <col min="14" max="16" width="12.421875" style="0" bestFit="1" customWidth="1"/>
    <col min="17" max="17" width="12.8515625" style="0" bestFit="1" customWidth="1"/>
    <col min="18" max="19" width="13.00390625" style="0" bestFit="1" customWidth="1"/>
    <col min="20" max="22" width="12.8515625" style="0" bestFit="1" customWidth="1"/>
    <col min="23" max="23" width="15.57421875" style="0" customWidth="1"/>
  </cols>
  <sheetData>
    <row r="1" spans="4:12" ht="12.75">
      <c r="D1" s="11" t="s">
        <v>8</v>
      </c>
      <c r="E1" s="10"/>
      <c r="H1" s="3" t="s">
        <v>26</v>
      </c>
      <c r="I1" s="3"/>
      <c r="J1" s="3"/>
      <c r="L1" s="17" t="s">
        <v>24</v>
      </c>
    </row>
    <row r="3" spans="3:23" ht="12.75"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  <c r="M3" s="4">
        <v>2025</v>
      </c>
      <c r="N3" s="4">
        <v>2026</v>
      </c>
      <c r="O3" s="4">
        <v>2027</v>
      </c>
      <c r="P3" s="4">
        <v>2028</v>
      </c>
      <c r="Q3" s="4">
        <v>2029</v>
      </c>
      <c r="R3" s="4">
        <v>2030</v>
      </c>
      <c r="S3" s="4">
        <v>2031</v>
      </c>
      <c r="T3" s="4">
        <v>2032</v>
      </c>
      <c r="U3" s="4">
        <v>2033</v>
      </c>
      <c r="V3" s="4">
        <v>2034</v>
      </c>
      <c r="W3" s="4">
        <v>2035</v>
      </c>
    </row>
    <row r="4" spans="1:23" ht="12.75">
      <c r="A4" s="16" t="s">
        <v>23</v>
      </c>
      <c r="C4" s="32"/>
      <c r="D4" s="32"/>
      <c r="E4" s="32"/>
      <c r="F4" s="32"/>
      <c r="G4" s="32"/>
      <c r="H4" s="103">
        <v>16300</v>
      </c>
      <c r="I4" s="103">
        <v>49782</v>
      </c>
      <c r="J4" s="103">
        <v>58711</v>
      </c>
      <c r="K4" s="104">
        <v>70000</v>
      </c>
      <c r="L4" s="104">
        <v>80000</v>
      </c>
      <c r="M4" s="104">
        <v>90000</v>
      </c>
      <c r="N4" s="104">
        <v>100000</v>
      </c>
      <c r="O4" s="104">
        <v>110000</v>
      </c>
      <c r="P4" s="104">
        <v>120000</v>
      </c>
      <c r="Q4" s="104">
        <v>120000</v>
      </c>
      <c r="R4" s="36">
        <v>120000</v>
      </c>
      <c r="S4" s="36">
        <v>120000</v>
      </c>
      <c r="T4" s="36">
        <v>120000</v>
      </c>
      <c r="U4" s="36">
        <v>120000</v>
      </c>
      <c r="V4" s="36">
        <v>120000</v>
      </c>
      <c r="W4" s="36">
        <v>120000</v>
      </c>
    </row>
    <row r="5" spans="1:23" ht="12.75">
      <c r="A5" s="16" t="s">
        <v>7</v>
      </c>
      <c r="C5" s="32"/>
      <c r="D5" s="32"/>
      <c r="E5" s="32"/>
      <c r="F5" s="32"/>
      <c r="G5" s="32"/>
      <c r="H5" s="32"/>
      <c r="I5" s="41">
        <f>(I4-H4)/H4</f>
        <v>2.054110429447853</v>
      </c>
      <c r="J5" s="41">
        <f>(J4-I4)/I4</f>
        <v>0.17936201840022498</v>
      </c>
      <c r="K5" s="41">
        <f>(K4-J4)/J4</f>
        <v>0.1922808332339766</v>
      </c>
      <c r="L5" s="41">
        <f>(L4-K4)/K4</f>
        <v>0.14285714285714285</v>
      </c>
      <c r="M5" s="41">
        <f>(M4-L4)/L4</f>
        <v>0.125</v>
      </c>
      <c r="N5" s="32"/>
      <c r="O5" s="32"/>
      <c r="P5" s="32"/>
      <c r="Q5" s="32"/>
      <c r="R5" s="32"/>
      <c r="S5" s="32"/>
      <c r="T5" s="32"/>
      <c r="U5" s="4"/>
      <c r="V5" s="4"/>
      <c r="W5" s="4"/>
    </row>
    <row r="6" spans="1:23" ht="12.75">
      <c r="A6" s="16" t="s">
        <v>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4"/>
      <c r="V6" s="4"/>
      <c r="W6" s="4"/>
    </row>
    <row r="7" spans="1:23" ht="12.75">
      <c r="A7" s="2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>
      <c r="A8" s="16" t="s">
        <v>0</v>
      </c>
      <c r="C8" s="9">
        <v>17269</v>
      </c>
      <c r="D8" s="9">
        <v>21756</v>
      </c>
      <c r="E8" s="9">
        <v>24910</v>
      </c>
      <c r="F8" s="9">
        <v>31100</v>
      </c>
      <c r="G8" s="9">
        <v>42800</v>
      </c>
      <c r="H8" s="9">
        <v>110912</v>
      </c>
      <c r="I8" s="9">
        <v>162106</v>
      </c>
      <c r="J8" s="9">
        <v>203121</v>
      </c>
      <c r="K8" s="105">
        <v>250000</v>
      </c>
      <c r="L8" s="6">
        <f aca="true" t="shared" si="0" ref="L8:W8">K8*(1+L9)</f>
        <v>300000</v>
      </c>
      <c r="M8" s="6">
        <f t="shared" si="0"/>
        <v>360000</v>
      </c>
      <c r="N8" s="6">
        <f t="shared" si="0"/>
        <v>432000</v>
      </c>
      <c r="O8" s="6">
        <f t="shared" si="0"/>
        <v>518400</v>
      </c>
      <c r="P8" s="6">
        <f t="shared" si="0"/>
        <v>622080</v>
      </c>
      <c r="Q8" s="6">
        <f t="shared" si="0"/>
        <v>746496</v>
      </c>
      <c r="R8" s="6">
        <f t="shared" si="0"/>
        <v>858470.3999999999</v>
      </c>
      <c r="S8" s="6">
        <f t="shared" si="0"/>
        <v>944317.44</v>
      </c>
      <c r="T8" s="6">
        <f t="shared" si="0"/>
        <v>1038749.184</v>
      </c>
      <c r="U8" s="6">
        <f t="shared" si="0"/>
        <v>1142624.1024000002</v>
      </c>
      <c r="V8" s="6">
        <f t="shared" si="0"/>
        <v>1199755.3075200003</v>
      </c>
      <c r="W8" s="6">
        <f t="shared" si="0"/>
        <v>1259743.0728960002</v>
      </c>
    </row>
    <row r="9" spans="1:23" ht="12.75">
      <c r="A9" s="16" t="s">
        <v>7</v>
      </c>
      <c r="C9" s="10"/>
      <c r="D9" s="12">
        <f aca="true" t="shared" si="1" ref="D9:K9">(D8-C8)/C8</f>
        <v>0.25982975273611675</v>
      </c>
      <c r="E9" s="12">
        <f t="shared" si="1"/>
        <v>0.14497150211435925</v>
      </c>
      <c r="F9" s="12">
        <f t="shared" si="1"/>
        <v>0.24849458048976314</v>
      </c>
      <c r="G9" s="12">
        <f t="shared" si="1"/>
        <v>0.3762057877813505</v>
      </c>
      <c r="H9" s="12">
        <f t="shared" si="1"/>
        <v>1.5914018691588785</v>
      </c>
      <c r="I9" s="12">
        <f t="shared" si="1"/>
        <v>0.46157313906520486</v>
      </c>
      <c r="J9" s="12">
        <f t="shared" si="1"/>
        <v>0.2530134603284271</v>
      </c>
      <c r="K9" s="12">
        <f t="shared" si="1"/>
        <v>0.23079346793290698</v>
      </c>
      <c r="L9" s="14">
        <v>0.2</v>
      </c>
      <c r="M9" s="14">
        <v>0.2</v>
      </c>
      <c r="N9" s="14">
        <v>0.2</v>
      </c>
      <c r="O9" s="14">
        <v>0.2</v>
      </c>
      <c r="P9" s="14">
        <v>0.2</v>
      </c>
      <c r="Q9" s="14">
        <v>0.2</v>
      </c>
      <c r="R9" s="14">
        <v>0.15</v>
      </c>
      <c r="S9" s="8">
        <v>0.1</v>
      </c>
      <c r="T9" s="8">
        <v>0.1</v>
      </c>
      <c r="U9" s="8">
        <v>0.1</v>
      </c>
      <c r="V9" s="8">
        <v>0.05</v>
      </c>
      <c r="W9" s="8">
        <v>0.05</v>
      </c>
    </row>
    <row r="10" spans="1:23" ht="12.75">
      <c r="A10" s="16" t="s">
        <v>3</v>
      </c>
      <c r="C10" s="10"/>
      <c r="D10" s="9">
        <f>D8+C8</f>
        <v>39025</v>
      </c>
      <c r="E10" s="9">
        <f aca="true" t="shared" si="2" ref="E10:Q10">D10+E8</f>
        <v>63935</v>
      </c>
      <c r="F10" s="9">
        <f t="shared" si="2"/>
        <v>95035</v>
      </c>
      <c r="G10" s="9">
        <f t="shared" si="2"/>
        <v>137835</v>
      </c>
      <c r="H10" s="9">
        <f t="shared" si="2"/>
        <v>248747</v>
      </c>
      <c r="I10" s="9">
        <f t="shared" si="2"/>
        <v>410853</v>
      </c>
      <c r="J10" s="9">
        <f t="shared" si="2"/>
        <v>613974</v>
      </c>
      <c r="K10" s="6">
        <f t="shared" si="2"/>
        <v>863974</v>
      </c>
      <c r="L10" s="6">
        <f t="shared" si="2"/>
        <v>1163974</v>
      </c>
      <c r="M10" s="6">
        <f t="shared" si="2"/>
        <v>1523974</v>
      </c>
      <c r="N10" s="6">
        <f t="shared" si="2"/>
        <v>1955974</v>
      </c>
      <c r="O10" s="6">
        <f t="shared" si="2"/>
        <v>2474374</v>
      </c>
      <c r="P10" s="6">
        <f t="shared" si="2"/>
        <v>3096454</v>
      </c>
      <c r="Q10" s="6">
        <f t="shared" si="2"/>
        <v>3842950</v>
      </c>
      <c r="R10" s="6">
        <f aca="true" t="shared" si="3" ref="R10:W10">SUM(D8:R8)</f>
        <v>4684151.4</v>
      </c>
      <c r="S10" s="6">
        <f t="shared" si="3"/>
        <v>5606712.84</v>
      </c>
      <c r="T10" s="6">
        <f t="shared" si="3"/>
        <v>6620552.024</v>
      </c>
      <c r="U10" s="6">
        <f t="shared" si="3"/>
        <v>7732076.1264</v>
      </c>
      <c r="V10" s="6">
        <f t="shared" si="3"/>
        <v>8889031.43392</v>
      </c>
      <c r="W10" s="6">
        <f t="shared" si="3"/>
        <v>10037862.506816</v>
      </c>
    </row>
    <row r="11" spans="1:10" ht="12.75">
      <c r="A11" s="16"/>
      <c r="C11" s="10"/>
      <c r="D11" s="10"/>
      <c r="E11" s="10"/>
      <c r="F11" s="10"/>
      <c r="G11" s="10"/>
      <c r="H11" s="10"/>
      <c r="I11" s="10"/>
      <c r="J11" s="10"/>
    </row>
    <row r="12" spans="1:23" ht="12.75">
      <c r="A12" s="16" t="s">
        <v>11</v>
      </c>
      <c r="C12" s="9">
        <v>5000</v>
      </c>
      <c r="D12" s="9">
        <v>8000</v>
      </c>
      <c r="E12" s="9">
        <v>10000</v>
      </c>
      <c r="F12" s="9">
        <v>15000</v>
      </c>
      <c r="G12" s="9">
        <v>20000</v>
      </c>
      <c r="H12" s="9">
        <v>74807</v>
      </c>
      <c r="I12" s="9">
        <v>141000</v>
      </c>
      <c r="J12" s="9">
        <v>126549</v>
      </c>
      <c r="K12" s="105">
        <v>140000</v>
      </c>
      <c r="L12" s="6">
        <f aca="true" t="shared" si="4" ref="L12:W12">K12*(1+L13)</f>
        <v>147000</v>
      </c>
      <c r="M12" s="6">
        <f t="shared" si="4"/>
        <v>154350</v>
      </c>
      <c r="N12" s="6">
        <f t="shared" si="4"/>
        <v>162067.5</v>
      </c>
      <c r="O12" s="6">
        <f t="shared" si="4"/>
        <v>170170.875</v>
      </c>
      <c r="P12" s="6">
        <f t="shared" si="4"/>
        <v>178679.41875</v>
      </c>
      <c r="Q12" s="6">
        <f t="shared" si="4"/>
        <v>187613.38968750002</v>
      </c>
      <c r="R12" s="6">
        <f t="shared" si="4"/>
        <v>193241.79137812502</v>
      </c>
      <c r="S12" s="6">
        <f t="shared" si="4"/>
        <v>199039.0451194688</v>
      </c>
      <c r="T12" s="6">
        <f t="shared" si="4"/>
        <v>205010.21647305286</v>
      </c>
      <c r="U12" s="6">
        <f t="shared" si="4"/>
        <v>211160.52296724444</v>
      </c>
      <c r="V12" s="6">
        <f t="shared" si="4"/>
        <v>217495.33865626177</v>
      </c>
      <c r="W12" s="6">
        <f t="shared" si="4"/>
        <v>224020.19881594964</v>
      </c>
    </row>
    <row r="13" spans="1:23" ht="12.75">
      <c r="A13" s="16" t="s">
        <v>7</v>
      </c>
      <c r="C13" s="10"/>
      <c r="D13" s="12"/>
      <c r="E13" s="10"/>
      <c r="F13" s="12">
        <f aca="true" t="shared" si="5" ref="F13:K13">(F12-E12)/E12</f>
        <v>0.5</v>
      </c>
      <c r="G13" s="12">
        <f t="shared" si="5"/>
        <v>0.3333333333333333</v>
      </c>
      <c r="H13" s="12">
        <f t="shared" si="5"/>
        <v>2.74035</v>
      </c>
      <c r="I13" s="12">
        <f t="shared" si="5"/>
        <v>0.8848503482294438</v>
      </c>
      <c r="J13" s="12">
        <f t="shared" si="5"/>
        <v>-0.10248936170212766</v>
      </c>
      <c r="K13" s="12">
        <f t="shared" si="5"/>
        <v>0.10629084386285155</v>
      </c>
      <c r="L13" s="8">
        <v>0.05</v>
      </c>
      <c r="M13" s="8">
        <v>0.05</v>
      </c>
      <c r="N13" s="8">
        <v>0.05</v>
      </c>
      <c r="O13" s="8">
        <v>0.05</v>
      </c>
      <c r="P13" s="8">
        <v>0.05</v>
      </c>
      <c r="Q13" s="8">
        <v>0.05</v>
      </c>
      <c r="R13" s="8">
        <v>0.03</v>
      </c>
      <c r="S13" s="8">
        <v>0.03</v>
      </c>
      <c r="T13" s="8">
        <v>0.03</v>
      </c>
      <c r="U13" s="8">
        <v>0.03</v>
      </c>
      <c r="V13" s="8">
        <v>0.03</v>
      </c>
      <c r="W13" s="8">
        <v>0.03</v>
      </c>
    </row>
    <row r="14" spans="1:23" ht="12.75">
      <c r="A14" s="16" t="s">
        <v>3</v>
      </c>
      <c r="C14" s="10"/>
      <c r="D14" s="9">
        <f>D12+C12</f>
        <v>13000</v>
      </c>
      <c r="E14" s="9">
        <f aca="true" t="shared" si="6" ref="E14:Q14">D14+E12</f>
        <v>23000</v>
      </c>
      <c r="F14" s="9">
        <f t="shared" si="6"/>
        <v>38000</v>
      </c>
      <c r="G14" s="9">
        <f t="shared" si="6"/>
        <v>58000</v>
      </c>
      <c r="H14" s="9">
        <f t="shared" si="6"/>
        <v>132807</v>
      </c>
      <c r="I14" s="9">
        <f t="shared" si="6"/>
        <v>273807</v>
      </c>
      <c r="J14" s="9">
        <f t="shared" si="6"/>
        <v>400356</v>
      </c>
      <c r="K14" s="6">
        <f t="shared" si="6"/>
        <v>540356</v>
      </c>
      <c r="L14" s="6">
        <f t="shared" si="6"/>
        <v>687356</v>
      </c>
      <c r="M14" s="6">
        <f t="shared" si="6"/>
        <v>841706</v>
      </c>
      <c r="N14" s="6">
        <f t="shared" si="6"/>
        <v>1003773.5</v>
      </c>
      <c r="O14" s="6">
        <f t="shared" si="6"/>
        <v>1173944.375</v>
      </c>
      <c r="P14" s="6">
        <f t="shared" si="6"/>
        <v>1352623.79375</v>
      </c>
      <c r="Q14" s="6">
        <f t="shared" si="6"/>
        <v>1540237.1834375</v>
      </c>
      <c r="R14" s="6">
        <f aca="true" t="shared" si="7" ref="R14:W14">SUM(D12:R12)</f>
        <v>1728478.974815625</v>
      </c>
      <c r="S14" s="6">
        <f t="shared" si="7"/>
        <v>1919518.0199350938</v>
      </c>
      <c r="T14" s="6">
        <f t="shared" si="7"/>
        <v>2114528.2364081466</v>
      </c>
      <c r="U14" s="6">
        <f t="shared" si="7"/>
        <v>2310688.759375391</v>
      </c>
      <c r="V14" s="6">
        <f t="shared" si="7"/>
        <v>2508184.0980316526</v>
      </c>
      <c r="W14" s="6">
        <f t="shared" si="7"/>
        <v>2657397.2968476024</v>
      </c>
    </row>
    <row r="15" spans="1:17" ht="12.75">
      <c r="A15" s="33" t="s">
        <v>17</v>
      </c>
      <c r="B15" s="20"/>
      <c r="C15" s="15">
        <f aca="true" t="shared" si="8" ref="C15:J15">C8+C12</f>
        <v>22269</v>
      </c>
      <c r="D15" s="15">
        <f t="shared" si="8"/>
        <v>29756</v>
      </c>
      <c r="E15" s="15">
        <f t="shared" si="8"/>
        <v>34910</v>
      </c>
      <c r="F15" s="15">
        <f t="shared" si="8"/>
        <v>46100</v>
      </c>
      <c r="G15" s="15">
        <f t="shared" si="8"/>
        <v>62800</v>
      </c>
      <c r="H15" s="15">
        <f t="shared" si="8"/>
        <v>185719</v>
      </c>
      <c r="I15" s="15">
        <f t="shared" si="8"/>
        <v>303106</v>
      </c>
      <c r="J15" s="9">
        <f t="shared" si="8"/>
        <v>329670</v>
      </c>
      <c r="K15" s="6"/>
      <c r="L15" s="6"/>
      <c r="M15" s="6"/>
      <c r="N15" s="6"/>
      <c r="O15" s="6"/>
      <c r="P15" s="6"/>
      <c r="Q15" s="6"/>
    </row>
    <row r="16" spans="1:10" ht="12.75">
      <c r="A16" s="16"/>
      <c r="C16" s="10"/>
      <c r="D16" s="10"/>
      <c r="E16" s="10"/>
      <c r="F16" s="10"/>
      <c r="G16" s="10"/>
      <c r="H16" s="10"/>
      <c r="I16" s="10"/>
      <c r="J16" s="10"/>
    </row>
    <row r="17" spans="1:23" ht="12.75">
      <c r="A17" s="16" t="s">
        <v>1</v>
      </c>
      <c r="C17" s="9">
        <v>47500</v>
      </c>
      <c r="D17" s="9">
        <v>50400</v>
      </c>
      <c r="E17" s="9">
        <v>71600</v>
      </c>
      <c r="F17" s="9">
        <v>91400</v>
      </c>
      <c r="G17" s="9">
        <v>105400</v>
      </c>
      <c r="H17" s="9">
        <v>168900</v>
      </c>
      <c r="I17" s="9">
        <v>286500</v>
      </c>
      <c r="J17" s="9">
        <v>332663</v>
      </c>
      <c r="K17" s="105">
        <v>400000</v>
      </c>
      <c r="L17" s="6">
        <f aca="true" t="shared" si="9" ref="L17:W17">K17*(1+L18)</f>
        <v>440000.00000000006</v>
      </c>
      <c r="M17" s="6">
        <f t="shared" si="9"/>
        <v>484000.0000000001</v>
      </c>
      <c r="N17" s="6">
        <f t="shared" si="9"/>
        <v>532400.0000000001</v>
      </c>
      <c r="O17" s="6">
        <f t="shared" si="9"/>
        <v>585640.0000000002</v>
      </c>
      <c r="P17" s="6">
        <f t="shared" si="9"/>
        <v>614922.0000000002</v>
      </c>
      <c r="Q17" s="6">
        <f t="shared" si="9"/>
        <v>645668.1000000003</v>
      </c>
      <c r="R17" s="6">
        <f t="shared" si="9"/>
        <v>665038.1430000004</v>
      </c>
      <c r="S17" s="6">
        <f t="shared" si="9"/>
        <v>684989.2872900005</v>
      </c>
      <c r="T17" s="6">
        <f t="shared" si="9"/>
        <v>705538.9659087005</v>
      </c>
      <c r="U17" s="6">
        <f t="shared" si="9"/>
        <v>726705.1348859615</v>
      </c>
      <c r="V17" s="6">
        <f t="shared" si="9"/>
        <v>748506.2889325405</v>
      </c>
      <c r="W17" s="6">
        <f t="shared" si="9"/>
        <v>770961.4776005166</v>
      </c>
    </row>
    <row r="18" spans="1:23" ht="12.75">
      <c r="A18" s="16" t="s">
        <v>7</v>
      </c>
      <c r="C18" s="10"/>
      <c r="D18" s="12">
        <f aca="true" t="shared" si="10" ref="D18:K18">(D17-C17)/C17</f>
        <v>0.061052631578947365</v>
      </c>
      <c r="E18" s="12">
        <f t="shared" si="10"/>
        <v>0.42063492063492064</v>
      </c>
      <c r="F18" s="12">
        <f t="shared" si="10"/>
        <v>0.276536312849162</v>
      </c>
      <c r="G18" s="12">
        <f t="shared" si="10"/>
        <v>0.15317286652078774</v>
      </c>
      <c r="H18" s="12">
        <f t="shared" si="10"/>
        <v>0.6024667931688804</v>
      </c>
      <c r="I18" s="12">
        <f t="shared" si="10"/>
        <v>0.6962699822380106</v>
      </c>
      <c r="J18" s="12">
        <f t="shared" si="10"/>
        <v>0.16112739965095987</v>
      </c>
      <c r="K18" s="12">
        <f t="shared" si="10"/>
        <v>0.20241806272413823</v>
      </c>
      <c r="L18" s="8">
        <v>0.1</v>
      </c>
      <c r="M18" s="8">
        <v>0.1</v>
      </c>
      <c r="N18" s="8">
        <v>0.1</v>
      </c>
      <c r="O18" s="8">
        <v>0.1</v>
      </c>
      <c r="P18" s="8">
        <v>0.05</v>
      </c>
      <c r="Q18" s="8">
        <v>0.05</v>
      </c>
      <c r="R18" s="8">
        <v>0.03</v>
      </c>
      <c r="S18" s="8">
        <v>0.03</v>
      </c>
      <c r="T18" s="8">
        <v>0.03</v>
      </c>
      <c r="U18" s="8">
        <v>0.03</v>
      </c>
      <c r="V18" s="8">
        <v>0.03</v>
      </c>
      <c r="W18" s="8">
        <v>0.03</v>
      </c>
    </row>
    <row r="19" spans="1:23" ht="12.75">
      <c r="A19" s="16" t="s">
        <v>3</v>
      </c>
      <c r="C19" s="10"/>
      <c r="D19" s="9">
        <f>D17+C17</f>
        <v>97900</v>
      </c>
      <c r="E19" s="9">
        <f aca="true" t="shared" si="11" ref="E19:Q19">D19+E17</f>
        <v>169500</v>
      </c>
      <c r="F19" s="9">
        <f t="shared" si="11"/>
        <v>260900</v>
      </c>
      <c r="G19" s="9">
        <f t="shared" si="11"/>
        <v>366300</v>
      </c>
      <c r="H19" s="9">
        <f t="shared" si="11"/>
        <v>535200</v>
      </c>
      <c r="I19" s="9">
        <f t="shared" si="11"/>
        <v>821700</v>
      </c>
      <c r="J19" s="9">
        <f t="shared" si="11"/>
        <v>1154363</v>
      </c>
      <c r="K19" s="6">
        <f t="shared" si="11"/>
        <v>1554363</v>
      </c>
      <c r="L19" s="6">
        <f t="shared" si="11"/>
        <v>1994363</v>
      </c>
      <c r="M19" s="6">
        <f t="shared" si="11"/>
        <v>2478363</v>
      </c>
      <c r="N19" s="6">
        <f t="shared" si="11"/>
        <v>3010763</v>
      </c>
      <c r="O19" s="6">
        <f t="shared" si="11"/>
        <v>3596403</v>
      </c>
      <c r="P19" s="6">
        <f t="shared" si="11"/>
        <v>4211325</v>
      </c>
      <c r="Q19" s="6">
        <f t="shared" si="11"/>
        <v>4856993.100000001</v>
      </c>
      <c r="R19" s="6">
        <f aca="true" t="shared" si="12" ref="R19:W19">SUM(D17:R17)</f>
        <v>5474531.243000001</v>
      </c>
      <c r="S19" s="6">
        <f t="shared" si="12"/>
        <v>6109120.530290001</v>
      </c>
      <c r="T19" s="6">
        <f t="shared" si="12"/>
        <v>6743059.496198702</v>
      </c>
      <c r="U19" s="6">
        <f t="shared" si="12"/>
        <v>7378364.631084663</v>
      </c>
      <c r="V19" s="6">
        <f t="shared" si="12"/>
        <v>8021470.920017203</v>
      </c>
      <c r="W19" s="6">
        <f t="shared" si="12"/>
        <v>8623532.39761772</v>
      </c>
    </row>
    <row r="20" spans="1:17" ht="12.75">
      <c r="A20" s="34" t="s">
        <v>16</v>
      </c>
      <c r="B20" s="21"/>
      <c r="C20" s="21"/>
      <c r="D20" s="22">
        <f aca="true" t="shared" si="13" ref="D20:J20">D12+D17</f>
        <v>58400</v>
      </c>
      <c r="E20" s="22">
        <f t="shared" si="13"/>
        <v>81600</v>
      </c>
      <c r="F20" s="22">
        <f t="shared" si="13"/>
        <v>106400</v>
      </c>
      <c r="G20" s="22">
        <f t="shared" si="13"/>
        <v>125400</v>
      </c>
      <c r="H20" s="22">
        <f t="shared" si="13"/>
        <v>243707</v>
      </c>
      <c r="I20" s="22">
        <f t="shared" si="13"/>
        <v>427500</v>
      </c>
      <c r="J20" s="22">
        <f t="shared" si="13"/>
        <v>459212</v>
      </c>
      <c r="K20" s="6"/>
      <c r="L20" s="6"/>
      <c r="M20" s="6"/>
      <c r="N20" s="6"/>
      <c r="O20" s="6"/>
      <c r="P20" s="6"/>
      <c r="Q20" s="6"/>
    </row>
    <row r="21" spans="1:17" ht="12.75">
      <c r="A21" s="16"/>
      <c r="C21" s="10"/>
      <c r="I21" s="6"/>
      <c r="J21" s="6"/>
      <c r="K21" s="6"/>
      <c r="L21" s="6"/>
      <c r="M21" s="6"/>
      <c r="N21" s="6"/>
      <c r="O21" s="6"/>
      <c r="P21" s="6"/>
      <c r="Q21" s="6"/>
    </row>
    <row r="22" spans="1:23" ht="12.75">
      <c r="A22" s="16" t="s">
        <v>4</v>
      </c>
      <c r="C22" s="9">
        <v>1080300</v>
      </c>
      <c r="D22" s="9">
        <v>1050400</v>
      </c>
      <c r="E22" s="9">
        <v>998100</v>
      </c>
      <c r="F22" s="9">
        <v>844800</v>
      </c>
      <c r="G22" s="9">
        <v>755600</v>
      </c>
      <c r="H22" s="9">
        <v>504200</v>
      </c>
      <c r="I22" s="9">
        <v>349478</v>
      </c>
      <c r="J22" s="9">
        <v>239111</v>
      </c>
      <c r="K22" s="105">
        <v>170000</v>
      </c>
      <c r="L22" s="7">
        <v>190000</v>
      </c>
      <c r="M22" s="7">
        <v>180000</v>
      </c>
      <c r="N22" s="7">
        <v>180000</v>
      </c>
      <c r="O22" s="7">
        <v>170000</v>
      </c>
      <c r="P22" s="7">
        <v>130000</v>
      </c>
      <c r="Q22" s="7">
        <v>100000</v>
      </c>
      <c r="R22" s="7">
        <v>80000</v>
      </c>
      <c r="S22" s="7">
        <v>60000</v>
      </c>
      <c r="T22" s="7">
        <v>40000</v>
      </c>
      <c r="U22" s="7">
        <v>20000</v>
      </c>
      <c r="V22" s="7">
        <v>10000</v>
      </c>
      <c r="W22" s="7">
        <v>5000</v>
      </c>
    </row>
    <row r="23" spans="1:23" ht="12.75">
      <c r="A23" s="16" t="s">
        <v>7</v>
      </c>
      <c r="C23" s="10"/>
      <c r="D23" s="12">
        <f aca="true" t="shared" si="14" ref="D23:W23">(D22-C22)/C22</f>
        <v>-0.027677496991576414</v>
      </c>
      <c r="E23" s="12">
        <f t="shared" si="14"/>
        <v>-0.04979055597867479</v>
      </c>
      <c r="F23" s="12">
        <f t="shared" si="14"/>
        <v>-0.15359182446648634</v>
      </c>
      <c r="G23" s="12">
        <f t="shared" si="14"/>
        <v>-0.10558712121212122</v>
      </c>
      <c r="H23" s="12">
        <f t="shared" si="14"/>
        <v>-0.3327157226045527</v>
      </c>
      <c r="I23" s="12">
        <f t="shared" si="14"/>
        <v>-0.30686632288774296</v>
      </c>
      <c r="J23" s="12">
        <f t="shared" si="14"/>
        <v>-0.31580528674194086</v>
      </c>
      <c r="K23" s="12">
        <f t="shared" si="14"/>
        <v>-0.2890331268741296</v>
      </c>
      <c r="L23" s="13">
        <f t="shared" si="14"/>
        <v>0.11764705882352941</v>
      </c>
      <c r="M23" s="13">
        <f t="shared" si="14"/>
        <v>-0.05263157894736842</v>
      </c>
      <c r="N23" s="13">
        <f t="shared" si="14"/>
        <v>0</v>
      </c>
      <c r="O23" s="13">
        <f t="shared" si="14"/>
        <v>-0.05555555555555555</v>
      </c>
      <c r="P23" s="13">
        <f t="shared" si="14"/>
        <v>-0.23529411764705882</v>
      </c>
      <c r="Q23" s="13">
        <f t="shared" si="14"/>
        <v>-0.23076923076923078</v>
      </c>
      <c r="R23" s="13">
        <f t="shared" si="14"/>
        <v>-0.2</v>
      </c>
      <c r="S23" s="13">
        <f t="shared" si="14"/>
        <v>-0.25</v>
      </c>
      <c r="T23" s="13">
        <f t="shared" si="14"/>
        <v>-0.3333333333333333</v>
      </c>
      <c r="U23" s="13">
        <f t="shared" si="14"/>
        <v>-0.5</v>
      </c>
      <c r="V23" s="13">
        <f t="shared" si="14"/>
        <v>-0.5</v>
      </c>
      <c r="W23" s="13">
        <f t="shared" si="14"/>
        <v>-0.5</v>
      </c>
    </row>
    <row r="24" spans="1:23" ht="12.75">
      <c r="A24" s="16" t="s">
        <v>3</v>
      </c>
      <c r="C24" s="9">
        <v>20000000</v>
      </c>
      <c r="D24" s="9">
        <f>C24+D22-B25</f>
        <v>19717066.666666668</v>
      </c>
      <c r="E24" s="9">
        <f>D24+E22-B25</f>
        <v>19381833.333333336</v>
      </c>
      <c r="F24" s="9">
        <f>E24+F22-B25</f>
        <v>18893300.000000004</v>
      </c>
      <c r="G24" s="9">
        <f>F24+G22-B25</f>
        <v>18315566.66666667</v>
      </c>
      <c r="H24" s="9">
        <f>G24+H22-B25</f>
        <v>17486433.33333334</v>
      </c>
      <c r="I24" s="9">
        <f>H24+I22-B25</f>
        <v>16502578.000000006</v>
      </c>
      <c r="J24" s="9">
        <f>I24+J22-B25</f>
        <v>15408355.666666672</v>
      </c>
      <c r="K24" s="6">
        <f>J24+K22-B25</f>
        <v>14245022.333333338</v>
      </c>
      <c r="L24" s="6">
        <f>K24+L22-B25</f>
        <v>13101689.000000004</v>
      </c>
      <c r="M24" s="6">
        <f>L24+M22-B25</f>
        <v>11948355.66666667</v>
      </c>
      <c r="N24" s="6">
        <f>M24+N22-B25</f>
        <v>10795022.333333336</v>
      </c>
      <c r="O24" s="6">
        <f>N24+O22-B25</f>
        <v>9631689.000000002</v>
      </c>
      <c r="P24" s="6">
        <f>O24+P22-B25</f>
        <v>8428355.666666668</v>
      </c>
      <c r="Q24" s="6">
        <f aca="true" t="shared" si="15" ref="Q24:W24">SUM(C22:Q22)</f>
        <v>6941989</v>
      </c>
      <c r="R24" s="6">
        <f t="shared" si="15"/>
        <v>5941689</v>
      </c>
      <c r="S24" s="6">
        <f t="shared" si="15"/>
        <v>4951289</v>
      </c>
      <c r="T24" s="6">
        <f t="shared" si="15"/>
        <v>3993189</v>
      </c>
      <c r="U24" s="6">
        <f t="shared" si="15"/>
        <v>3168389</v>
      </c>
      <c r="V24" s="6">
        <f t="shared" si="15"/>
        <v>2422789</v>
      </c>
      <c r="W24" s="6">
        <f t="shared" si="15"/>
        <v>1923589</v>
      </c>
    </row>
    <row r="25" spans="1:10" ht="12.75">
      <c r="A25" s="16"/>
      <c r="B25" s="6">
        <f>C24/15</f>
        <v>1333333.3333333333</v>
      </c>
      <c r="C25" s="31"/>
      <c r="D25" s="12"/>
      <c r="E25" s="12"/>
      <c r="F25" s="12"/>
      <c r="G25" s="12"/>
      <c r="H25" s="10"/>
      <c r="I25" s="10"/>
      <c r="J25" s="10"/>
    </row>
    <row r="26" spans="1:23" ht="12.75">
      <c r="A26" s="16" t="s">
        <v>5</v>
      </c>
      <c r="C26" s="9">
        <v>736108</v>
      </c>
      <c r="D26" s="9">
        <v>883100</v>
      </c>
      <c r="E26" s="9">
        <v>1004300</v>
      </c>
      <c r="F26" s="9">
        <v>1188100</v>
      </c>
      <c r="G26" s="9">
        <v>1281800</v>
      </c>
      <c r="H26" s="9">
        <v>768100</v>
      </c>
      <c r="I26" s="9">
        <v>670000</v>
      </c>
      <c r="J26" s="9">
        <v>568880</v>
      </c>
      <c r="K26" s="105">
        <v>670000</v>
      </c>
      <c r="L26" s="7">
        <v>680000</v>
      </c>
      <c r="M26" s="7">
        <v>650000</v>
      </c>
      <c r="N26" s="7">
        <v>610000</v>
      </c>
      <c r="O26" s="7">
        <v>550000</v>
      </c>
      <c r="P26" s="7">
        <v>500000</v>
      </c>
      <c r="Q26" s="7">
        <v>420000</v>
      </c>
      <c r="R26" s="7">
        <v>370000</v>
      </c>
      <c r="S26" s="7">
        <v>300000</v>
      </c>
      <c r="T26" s="7">
        <v>200000</v>
      </c>
      <c r="U26" s="7">
        <v>150000</v>
      </c>
      <c r="V26" s="7">
        <v>100000</v>
      </c>
      <c r="W26" s="7">
        <v>10000</v>
      </c>
    </row>
    <row r="27" spans="1:23" ht="12.75">
      <c r="A27" s="16" t="s">
        <v>9</v>
      </c>
      <c r="C27" s="10"/>
      <c r="D27" s="12">
        <f aca="true" t="shared" si="16" ref="D27:W27">(D26-C26)/C26</f>
        <v>0.19968808924777343</v>
      </c>
      <c r="E27" s="12">
        <f t="shared" si="16"/>
        <v>0.13724380024912242</v>
      </c>
      <c r="F27" s="12">
        <f t="shared" si="16"/>
        <v>0.18301304391118192</v>
      </c>
      <c r="G27" s="12">
        <f t="shared" si="16"/>
        <v>0.07886541536907668</v>
      </c>
      <c r="H27" s="12">
        <f t="shared" si="16"/>
        <v>-0.40076454985177096</v>
      </c>
      <c r="I27" s="12">
        <f t="shared" si="16"/>
        <v>-0.12771774508527536</v>
      </c>
      <c r="J27" s="12">
        <f t="shared" si="16"/>
        <v>-0.15092537313432836</v>
      </c>
      <c r="K27" s="42">
        <f t="shared" si="16"/>
        <v>0.17775277738714668</v>
      </c>
      <c r="L27" s="13">
        <f t="shared" si="16"/>
        <v>0.014925373134328358</v>
      </c>
      <c r="M27" s="13">
        <f t="shared" si="16"/>
        <v>-0.04411764705882353</v>
      </c>
      <c r="N27" s="13">
        <f t="shared" si="16"/>
        <v>-0.06153846153846154</v>
      </c>
      <c r="O27" s="13">
        <f t="shared" si="16"/>
        <v>-0.09836065573770492</v>
      </c>
      <c r="P27" s="13">
        <f t="shared" si="16"/>
        <v>-0.09090909090909091</v>
      </c>
      <c r="Q27" s="13">
        <f t="shared" si="16"/>
        <v>-0.16</v>
      </c>
      <c r="R27" s="13">
        <f t="shared" si="16"/>
        <v>-0.11904761904761904</v>
      </c>
      <c r="S27" s="13">
        <f t="shared" si="16"/>
        <v>-0.1891891891891892</v>
      </c>
      <c r="T27" s="13">
        <f t="shared" si="16"/>
        <v>-0.3333333333333333</v>
      </c>
      <c r="U27" s="13">
        <f t="shared" si="16"/>
        <v>-0.25</v>
      </c>
      <c r="V27" s="13">
        <f t="shared" si="16"/>
        <v>-0.3333333333333333</v>
      </c>
      <c r="W27" s="13">
        <f t="shared" si="16"/>
        <v>-0.9</v>
      </c>
    </row>
    <row r="28" spans="1:23" ht="12.75">
      <c r="A28" s="16" t="s">
        <v>3</v>
      </c>
      <c r="B28" s="28">
        <f>C28/15</f>
        <v>666666.6666666666</v>
      </c>
      <c r="C28" s="9">
        <v>10000000</v>
      </c>
      <c r="D28" s="9">
        <f>C28+D26-B28</f>
        <v>10216433.333333334</v>
      </c>
      <c r="E28" s="9">
        <f>D28+E26-B28</f>
        <v>10554066.666666668</v>
      </c>
      <c r="F28" s="9">
        <f>E28+F26-B28</f>
        <v>11075500.000000002</v>
      </c>
      <c r="G28" s="9">
        <f>F28+G26-B28</f>
        <v>11690633.333333336</v>
      </c>
      <c r="H28" s="9">
        <f>G28+H26-B28</f>
        <v>11792066.66666667</v>
      </c>
      <c r="I28" s="9">
        <f>H28+I26-B28</f>
        <v>11795400.000000004</v>
      </c>
      <c r="J28" s="9">
        <f>I28+J26-B28</f>
        <v>11697613.333333338</v>
      </c>
      <c r="K28" s="6">
        <f>J28+K26-B28</f>
        <v>11700946.666666672</v>
      </c>
      <c r="L28" s="6">
        <f>K28+L26-B28</f>
        <v>11714280.000000006</v>
      </c>
      <c r="M28" s="6">
        <f>L28+M26-B28</f>
        <v>11697613.33333334</v>
      </c>
      <c r="N28" s="6">
        <f>M28+N26-B28</f>
        <v>11640946.666666673</v>
      </c>
      <c r="O28" s="6">
        <f>N28+O26-B28</f>
        <v>11524280.000000007</v>
      </c>
      <c r="P28" s="6">
        <f>O28+P26-B28</f>
        <v>11357613.333333341</v>
      </c>
      <c r="Q28" s="6">
        <f aca="true" t="shared" si="17" ref="Q28:W28">SUM(C26:Q26)</f>
        <v>11180388</v>
      </c>
      <c r="R28" s="6">
        <f t="shared" si="17"/>
        <v>10814280</v>
      </c>
      <c r="S28" s="6">
        <f t="shared" si="17"/>
        <v>10231180</v>
      </c>
      <c r="T28" s="6">
        <f t="shared" si="17"/>
        <v>9426880</v>
      </c>
      <c r="U28" s="6">
        <f t="shared" si="17"/>
        <v>8388780</v>
      </c>
      <c r="V28" s="6">
        <f t="shared" si="17"/>
        <v>7206980</v>
      </c>
      <c r="W28" s="6">
        <f t="shared" si="17"/>
        <v>6448880</v>
      </c>
    </row>
    <row r="29" spans="1:23" ht="12.75">
      <c r="A29" s="35" t="s">
        <v>6</v>
      </c>
      <c r="B29" s="23"/>
      <c r="C29" s="23"/>
      <c r="D29" s="24">
        <f aca="true" t="shared" si="18" ref="D29:W29">D26+D22</f>
        <v>1933500</v>
      </c>
      <c r="E29" s="24">
        <f t="shared" si="18"/>
        <v>2002400</v>
      </c>
      <c r="F29" s="24">
        <f t="shared" si="18"/>
        <v>2032900</v>
      </c>
      <c r="G29" s="24">
        <f t="shared" si="18"/>
        <v>2037400</v>
      </c>
      <c r="H29" s="24">
        <f t="shared" si="18"/>
        <v>1272300</v>
      </c>
      <c r="I29" s="24">
        <f t="shared" si="18"/>
        <v>1019478</v>
      </c>
      <c r="J29" s="24">
        <f t="shared" si="18"/>
        <v>807991</v>
      </c>
      <c r="K29" s="6">
        <f t="shared" si="18"/>
        <v>840000</v>
      </c>
      <c r="L29" s="6">
        <f t="shared" si="18"/>
        <v>870000</v>
      </c>
      <c r="M29" s="6">
        <f t="shared" si="18"/>
        <v>830000</v>
      </c>
      <c r="N29" s="6">
        <f t="shared" si="18"/>
        <v>790000</v>
      </c>
      <c r="O29" s="6">
        <f t="shared" si="18"/>
        <v>720000</v>
      </c>
      <c r="P29" s="6">
        <f t="shared" si="18"/>
        <v>630000</v>
      </c>
      <c r="Q29" s="6">
        <f t="shared" si="18"/>
        <v>520000</v>
      </c>
      <c r="R29" s="6">
        <f t="shared" si="18"/>
        <v>450000</v>
      </c>
      <c r="S29" s="6">
        <f t="shared" si="18"/>
        <v>360000</v>
      </c>
      <c r="T29" s="6">
        <f t="shared" si="18"/>
        <v>240000</v>
      </c>
      <c r="U29" s="6">
        <f t="shared" si="18"/>
        <v>170000</v>
      </c>
      <c r="V29" s="6">
        <f t="shared" si="18"/>
        <v>110000</v>
      </c>
      <c r="W29" s="6">
        <f t="shared" si="18"/>
        <v>15000</v>
      </c>
    </row>
    <row r="30" spans="1:17" ht="12.75">
      <c r="A30" s="2"/>
      <c r="C30" s="26"/>
      <c r="D30" s="26"/>
      <c r="E30" s="26"/>
      <c r="F30" s="26"/>
      <c r="G30" s="25"/>
      <c r="H30" s="6"/>
      <c r="I30" s="6"/>
      <c r="J30" s="6"/>
      <c r="K30" s="6"/>
      <c r="L30" s="6"/>
      <c r="M30" s="6">
        <f>2872+2485+2092+1919+1069+1004+872+795+779+522</f>
        <v>14409</v>
      </c>
      <c r="N30" s="6"/>
      <c r="O30" s="6"/>
      <c r="P30" s="6"/>
      <c r="Q30" s="6"/>
    </row>
    <row r="31" spans="1:23" s="18" customFormat="1" ht="11.25">
      <c r="A31" s="18" t="s">
        <v>25</v>
      </c>
      <c r="C31" s="28">
        <f>C10+C14+C19+C24+C28</f>
        <v>30000000</v>
      </c>
      <c r="D31" s="28"/>
      <c r="I31" s="28">
        <f>I10+I14+I19+I24+I28</f>
        <v>29804338.00000001</v>
      </c>
      <c r="J31" s="29">
        <f>(J33-I33)/J33</f>
        <v>-0.08491041735473681</v>
      </c>
      <c r="P31" s="18" t="s">
        <v>18</v>
      </c>
      <c r="Q31" s="28">
        <f>Q10+Q14+Q19+Q24+Q28</f>
        <v>28362557.2834375</v>
      </c>
      <c r="W31" s="28">
        <f>W10+W14+W19+W24+W28</f>
        <v>29691261.201281324</v>
      </c>
    </row>
    <row r="32" spans="1:23" s="18" customFormat="1" ht="11.25">
      <c r="A32" s="30" t="s">
        <v>12</v>
      </c>
      <c r="C32" s="37">
        <v>1886229</v>
      </c>
      <c r="D32" s="37">
        <v>2015200</v>
      </c>
      <c r="E32" s="37">
        <v>2110700</v>
      </c>
      <c r="F32" s="37">
        <v>2174000</v>
      </c>
      <c r="G32" s="37">
        <v>2214279</v>
      </c>
      <c r="H32" s="38">
        <v>1650100</v>
      </c>
      <c r="I32" s="38">
        <v>1659003</v>
      </c>
      <c r="J32" s="50">
        <v>1529035</v>
      </c>
      <c r="W32" s="28">
        <f>W31-W10</f>
        <v>19653398.694465324</v>
      </c>
    </row>
    <row r="33" spans="2:23" s="18" customFormat="1" ht="11.25">
      <c r="B33" s="18" t="s">
        <v>13</v>
      </c>
      <c r="C33" s="28">
        <f>C26+C22+C17+C12+C8</f>
        <v>1886177</v>
      </c>
      <c r="D33" s="28">
        <f>D26+D22+D17+D12+D8</f>
        <v>2013656</v>
      </c>
      <c r="E33" s="28">
        <f>E26+E22+E17+E12+E8</f>
        <v>2108910</v>
      </c>
      <c r="F33" s="28">
        <f>F26+F22+F17+F12+F8</f>
        <v>2170400</v>
      </c>
      <c r="G33" s="28">
        <f>G26+G22+G17+G12+G8</f>
        <v>2205600</v>
      </c>
      <c r="H33" s="28">
        <f aca="true" t="shared" si="19" ref="H33:W33">H26+H22+H17+H12+H8+H4</f>
        <v>1643219</v>
      </c>
      <c r="I33" s="28">
        <f t="shared" si="19"/>
        <v>1658866</v>
      </c>
      <c r="J33" s="28">
        <f t="shared" si="19"/>
        <v>1529035</v>
      </c>
      <c r="K33" s="106">
        <f t="shared" si="19"/>
        <v>1700000</v>
      </c>
      <c r="L33" s="28">
        <f t="shared" si="19"/>
        <v>1837000</v>
      </c>
      <c r="M33" s="28">
        <f t="shared" si="19"/>
        <v>1918350</v>
      </c>
      <c r="N33" s="28">
        <f t="shared" si="19"/>
        <v>2016467.5</v>
      </c>
      <c r="O33" s="28">
        <f t="shared" si="19"/>
        <v>2104210.875</v>
      </c>
      <c r="P33" s="28">
        <f t="shared" si="19"/>
        <v>2165681.41875</v>
      </c>
      <c r="Q33" s="28">
        <f t="shared" si="19"/>
        <v>2219777.4896875005</v>
      </c>
      <c r="R33" s="28">
        <f t="shared" si="19"/>
        <v>2286750.334378125</v>
      </c>
      <c r="S33" s="28">
        <f t="shared" si="19"/>
        <v>2308345.772409469</v>
      </c>
      <c r="T33" s="28">
        <f t="shared" si="19"/>
        <v>2309298.3663817532</v>
      </c>
      <c r="U33" s="28">
        <f t="shared" si="19"/>
        <v>2370489.760253206</v>
      </c>
      <c r="V33" s="28">
        <f t="shared" si="19"/>
        <v>2395756.9351088023</v>
      </c>
      <c r="W33" s="28">
        <f t="shared" si="19"/>
        <v>2389724.7493124665</v>
      </c>
    </row>
    <row r="34" spans="2:10" ht="12.75">
      <c r="B34" t="s">
        <v>14</v>
      </c>
      <c r="C34" s="19">
        <f aca="true" t="shared" si="20" ref="C34:J34">C26+C17+C15</f>
        <v>805877</v>
      </c>
      <c r="D34" s="19">
        <f t="shared" si="20"/>
        <v>963256</v>
      </c>
      <c r="E34" s="19">
        <f t="shared" si="20"/>
        <v>1110810</v>
      </c>
      <c r="F34" s="19">
        <f t="shared" si="20"/>
        <v>1325600</v>
      </c>
      <c r="G34" s="19">
        <f t="shared" si="20"/>
        <v>1450000</v>
      </c>
      <c r="H34" s="19">
        <f t="shared" si="20"/>
        <v>1122719</v>
      </c>
      <c r="I34" s="19">
        <f t="shared" si="20"/>
        <v>1259606</v>
      </c>
      <c r="J34" s="19">
        <f t="shared" si="20"/>
        <v>1231213</v>
      </c>
    </row>
    <row r="35" spans="2:10" ht="12.75">
      <c r="B35" t="s">
        <v>15</v>
      </c>
      <c r="C35" s="19">
        <f aca="true" t="shared" si="21" ref="C35:J35">C33-C34</f>
        <v>1080300</v>
      </c>
      <c r="D35" s="19">
        <f t="shared" si="21"/>
        <v>1050400</v>
      </c>
      <c r="E35" s="19">
        <f t="shared" si="21"/>
        <v>998100</v>
      </c>
      <c r="F35" s="19">
        <f t="shared" si="21"/>
        <v>844800</v>
      </c>
      <c r="G35" s="19">
        <f t="shared" si="21"/>
        <v>755600</v>
      </c>
      <c r="H35" s="19">
        <f t="shared" si="21"/>
        <v>520500</v>
      </c>
      <c r="I35" s="19">
        <f t="shared" si="21"/>
        <v>399260</v>
      </c>
      <c r="J35" s="19">
        <f t="shared" si="21"/>
        <v>297822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U4" sqref="U4"/>
      <selection activeCell="R4" sqref="R4"/>
    </sheetView>
  </sheetViews>
  <sheetFormatPr defaultColWidth="11.421875" defaultRowHeight="12.75"/>
  <cols>
    <col min="1" max="1" width="15.421875" style="0" customWidth="1"/>
    <col min="2" max="2" width="9.140625" style="0" customWidth="1"/>
    <col min="3" max="19" width="8.8515625" style="0" customWidth="1"/>
    <col min="20" max="20" width="10.57421875" style="0" customWidth="1"/>
  </cols>
  <sheetData>
    <row r="1" spans="1:8" ht="12.75">
      <c r="A1" s="72" t="s">
        <v>10</v>
      </c>
      <c r="B1" s="72"/>
      <c r="C1" s="43"/>
      <c r="D1" s="43"/>
      <c r="E1" s="40"/>
      <c r="G1" s="10"/>
      <c r="H1" s="10"/>
    </row>
    <row r="2" spans="1:21" ht="12.75">
      <c r="A2" s="16" t="s">
        <v>27</v>
      </c>
      <c r="B2" s="16"/>
      <c r="F2" s="16">
        <v>2023</v>
      </c>
      <c r="R2" s="17" t="s">
        <v>44</v>
      </c>
      <c r="U2" s="17" t="s">
        <v>43</v>
      </c>
    </row>
    <row r="3" spans="1:21" ht="12.75">
      <c r="A3" s="27"/>
      <c r="B3" s="44">
        <v>44805</v>
      </c>
      <c r="C3" s="44">
        <v>44835</v>
      </c>
      <c r="D3" s="44">
        <v>44866</v>
      </c>
      <c r="E3" s="44">
        <v>44896</v>
      </c>
      <c r="F3" s="44">
        <v>44927</v>
      </c>
      <c r="G3" s="44">
        <v>44958</v>
      </c>
      <c r="H3" s="44">
        <v>44986</v>
      </c>
      <c r="I3" s="44">
        <v>45017</v>
      </c>
      <c r="J3" s="44">
        <v>45047</v>
      </c>
      <c r="K3" s="44">
        <v>45078</v>
      </c>
      <c r="L3" s="44">
        <v>45108</v>
      </c>
      <c r="M3" s="44">
        <v>45139</v>
      </c>
      <c r="N3" s="44">
        <v>45170</v>
      </c>
      <c r="O3" s="44">
        <v>45200</v>
      </c>
      <c r="P3" s="44">
        <v>45231</v>
      </c>
      <c r="Q3" s="44">
        <v>45261</v>
      </c>
      <c r="R3" s="71" t="s">
        <v>36</v>
      </c>
      <c r="S3" s="32" t="s">
        <v>35</v>
      </c>
      <c r="U3" s="18" t="s">
        <v>42</v>
      </c>
    </row>
    <row r="4" spans="1:21" ht="12.75">
      <c r="A4" s="16" t="s">
        <v>0</v>
      </c>
      <c r="B4" s="16">
        <v>22483</v>
      </c>
      <c r="C4" s="49">
        <v>16860</v>
      </c>
      <c r="D4" s="49">
        <v>20303</v>
      </c>
      <c r="E4" s="49">
        <v>24944</v>
      </c>
      <c r="F4" s="50">
        <v>14629</v>
      </c>
      <c r="G4" s="50">
        <v>19618</v>
      </c>
      <c r="H4" s="50">
        <v>30635</v>
      </c>
      <c r="I4" s="50">
        <v>17113</v>
      </c>
      <c r="J4" s="75">
        <v>22666</v>
      </c>
      <c r="R4" s="49">
        <f>SUM(F4:Q4)</f>
        <v>104661</v>
      </c>
      <c r="S4" s="27">
        <v>250000</v>
      </c>
      <c r="T4" s="16" t="s">
        <v>0</v>
      </c>
      <c r="U4" s="18">
        <f>B4+C4+D4+E4+R4</f>
        <v>189251</v>
      </c>
    </row>
    <row r="5" spans="1:21" ht="12.75">
      <c r="A5" s="16" t="s">
        <v>31</v>
      </c>
      <c r="B5" s="51">
        <f aca="true" t="shared" si="0" ref="B5:J5">B4/B28</f>
        <v>0.15929912071249921</v>
      </c>
      <c r="C5" s="51">
        <f t="shared" si="0"/>
        <v>0.13491237897095304</v>
      </c>
      <c r="D5" s="51">
        <f t="shared" si="0"/>
        <v>0.15142113467031615</v>
      </c>
      <c r="E5" s="51">
        <f t="shared" si="0"/>
        <v>0.15783545729508092</v>
      </c>
      <c r="F5" s="52">
        <f t="shared" si="0"/>
        <v>0.13068841680215834</v>
      </c>
      <c r="G5" s="52">
        <f t="shared" si="0"/>
        <v>0.15540610122230408</v>
      </c>
      <c r="H5" s="52">
        <f t="shared" si="0"/>
        <v>0.167668242917816</v>
      </c>
      <c r="I5" s="52">
        <f t="shared" si="0"/>
        <v>0.12915276750539614</v>
      </c>
      <c r="J5" s="76">
        <f t="shared" si="0"/>
        <v>0.1561384897289999</v>
      </c>
      <c r="R5" s="68">
        <f>R4/R28</f>
        <v>0.1498249958843613</v>
      </c>
      <c r="S5" s="68">
        <f>S4/S28</f>
        <v>0.14705882352941177</v>
      </c>
      <c r="T5" s="16" t="s">
        <v>39</v>
      </c>
      <c r="U5" s="52">
        <f>U4/U28</f>
        <v>0.1505836727581452</v>
      </c>
    </row>
    <row r="6" spans="1:21" ht="12.75">
      <c r="A6" s="16"/>
      <c r="B6" s="16"/>
      <c r="C6" s="46"/>
      <c r="D6" s="46"/>
      <c r="E6" s="46"/>
      <c r="F6" s="45"/>
      <c r="G6" s="45"/>
      <c r="J6" s="77"/>
      <c r="R6" s="27"/>
      <c r="S6" s="27"/>
      <c r="T6" s="16"/>
      <c r="U6" s="18">
        <f>C6+D6+E6+R6</f>
        <v>0</v>
      </c>
    </row>
    <row r="7" spans="1:21" ht="12.75">
      <c r="A7" s="16" t="s">
        <v>28</v>
      </c>
      <c r="B7" s="16">
        <v>11618</v>
      </c>
      <c r="C7" s="46">
        <v>11109</v>
      </c>
      <c r="D7" s="46">
        <v>8338</v>
      </c>
      <c r="E7" s="46">
        <v>18549</v>
      </c>
      <c r="F7" s="45">
        <v>10300</v>
      </c>
      <c r="G7" s="45">
        <v>10494</v>
      </c>
      <c r="H7" s="45">
        <v>15718</v>
      </c>
      <c r="I7" s="45">
        <v>10882</v>
      </c>
      <c r="J7" s="75">
        <v>11000</v>
      </c>
      <c r="R7" s="27">
        <f>SUM(F7:Q7)</f>
        <v>58394</v>
      </c>
      <c r="S7" s="27">
        <v>140000</v>
      </c>
      <c r="T7" s="16" t="s">
        <v>28</v>
      </c>
      <c r="U7" s="18">
        <f>B7+C7+D7+E7+R7</f>
        <v>108008</v>
      </c>
    </row>
    <row r="8" spans="1:21" ht="12.75">
      <c r="A8" s="16" t="s">
        <v>31</v>
      </c>
      <c r="B8" s="47">
        <f aca="true" t="shared" si="1" ref="B8:J8">B7/B28</f>
        <v>0.08231718117857117</v>
      </c>
      <c r="C8" s="47">
        <f t="shared" si="1"/>
        <v>0.08889333440025605</v>
      </c>
      <c r="D8" s="47">
        <f t="shared" si="1"/>
        <v>0.0621853627976701</v>
      </c>
      <c r="E8" s="47">
        <f t="shared" si="1"/>
        <v>0.11737050582771233</v>
      </c>
      <c r="F8" s="48">
        <f t="shared" si="1"/>
        <v>0.09201522271257304</v>
      </c>
      <c r="G8" s="48">
        <f t="shared" si="1"/>
        <v>0.08312935193326837</v>
      </c>
      <c r="H8" s="48">
        <f t="shared" si="1"/>
        <v>0.08602609571347257</v>
      </c>
      <c r="I8" s="48">
        <f t="shared" si="1"/>
        <v>0.0821270622330229</v>
      </c>
      <c r="J8" s="76">
        <f t="shared" si="1"/>
        <v>0.07577531928964082</v>
      </c>
      <c r="R8" s="48">
        <f>R7/R28</f>
        <v>0.08359255892520989</v>
      </c>
      <c r="S8" s="48">
        <f>S7/S28</f>
        <v>0.08235294117647059</v>
      </c>
      <c r="T8" s="16" t="s">
        <v>39</v>
      </c>
      <c r="U8" s="48">
        <f>U7/U28</f>
        <v>0.08594005488616571</v>
      </c>
    </row>
    <row r="9" spans="1:21" ht="12.75">
      <c r="A9" s="16"/>
      <c r="B9" s="16"/>
      <c r="C9" s="46"/>
      <c r="D9" s="46"/>
      <c r="E9" s="46"/>
      <c r="F9" s="45"/>
      <c r="G9" s="45"/>
      <c r="J9" s="77"/>
      <c r="R9" s="27"/>
      <c r="S9" s="27"/>
      <c r="T9" s="16"/>
      <c r="U9" s="18">
        <f>C9+D9+E9+R9</f>
        <v>0</v>
      </c>
    </row>
    <row r="10" spans="1:21" ht="12.75">
      <c r="A10" s="16" t="s">
        <v>29</v>
      </c>
      <c r="B10" s="16">
        <v>29529</v>
      </c>
      <c r="C10" s="46">
        <f>C13-C7</f>
        <v>30951</v>
      </c>
      <c r="D10" s="46">
        <f>D13-D7</f>
        <v>33505</v>
      </c>
      <c r="E10" s="46">
        <f>E13-E7</f>
        <v>33151</v>
      </c>
      <c r="F10" s="45">
        <v>26030</v>
      </c>
      <c r="G10" s="45">
        <v>29129</v>
      </c>
      <c r="H10" s="18">
        <v>38508</v>
      </c>
      <c r="I10" s="18">
        <v>30934</v>
      </c>
      <c r="J10" s="75">
        <v>36500</v>
      </c>
      <c r="R10" s="27">
        <f>SUM(F10:Q10)</f>
        <v>161101</v>
      </c>
      <c r="S10" s="27">
        <v>400000</v>
      </c>
      <c r="T10" s="16" t="s">
        <v>29</v>
      </c>
      <c r="U10" s="18">
        <f>B10+C10+D10+E10+R10</f>
        <v>288237</v>
      </c>
    </row>
    <row r="11" spans="1:21" ht="12.75">
      <c r="A11" s="16" t="s">
        <v>31</v>
      </c>
      <c r="B11" s="47">
        <f aca="true" t="shared" si="2" ref="B11:J11">B10/B28</f>
        <v>0.2092222450526793</v>
      </c>
      <c r="C11" s="47">
        <f t="shared" si="2"/>
        <v>0.24766744018564454</v>
      </c>
      <c r="D11" s="47">
        <f t="shared" si="2"/>
        <v>0.2498825354444635</v>
      </c>
      <c r="E11" s="47">
        <f t="shared" si="2"/>
        <v>0.20976600564421216</v>
      </c>
      <c r="F11" s="48">
        <f t="shared" si="2"/>
        <v>0.23253944147653166</v>
      </c>
      <c r="G11" s="48">
        <f t="shared" si="2"/>
        <v>0.23074851271814129</v>
      </c>
      <c r="H11" s="48">
        <f t="shared" si="2"/>
        <v>0.21075791409431235</v>
      </c>
      <c r="I11" s="48">
        <f t="shared" si="2"/>
        <v>0.23346062700940362</v>
      </c>
      <c r="J11" s="76">
        <f t="shared" si="2"/>
        <v>0.2514362867338082</v>
      </c>
      <c r="R11" s="48">
        <f>R10/R28</f>
        <v>0.23062035201236838</v>
      </c>
      <c r="S11" s="48">
        <f>S10/S28</f>
        <v>0.23529411764705882</v>
      </c>
      <c r="T11" s="16" t="s">
        <v>39</v>
      </c>
      <c r="U11" s="48">
        <f>U10/U28</f>
        <v>0.22934508184786076</v>
      </c>
    </row>
    <row r="12" spans="1:21" ht="12.75">
      <c r="A12" s="16"/>
      <c r="B12" s="16"/>
      <c r="C12" s="46"/>
      <c r="D12" s="46"/>
      <c r="E12" s="46"/>
      <c r="F12" s="45"/>
      <c r="G12" s="45"/>
      <c r="J12" s="77"/>
      <c r="R12" s="27"/>
      <c r="S12" s="27"/>
      <c r="T12" s="16"/>
      <c r="U12" s="18">
        <f>C12+D12+E12+R12</f>
        <v>0</v>
      </c>
    </row>
    <row r="13" spans="1:21" ht="12.75">
      <c r="A13" s="16" t="s">
        <v>30</v>
      </c>
      <c r="B13" s="53">
        <f>B7+B10</f>
        <v>41147</v>
      </c>
      <c r="C13" s="53">
        <v>42060</v>
      </c>
      <c r="D13" s="53">
        <v>41843</v>
      </c>
      <c r="E13" s="53">
        <v>51700</v>
      </c>
      <c r="F13" s="54">
        <f>F7+F10</f>
        <v>36330</v>
      </c>
      <c r="G13" s="54">
        <f>G7+G10</f>
        <v>39623</v>
      </c>
      <c r="H13" s="54">
        <f>H7+H10</f>
        <v>54226</v>
      </c>
      <c r="I13" s="54">
        <f>I7+I10</f>
        <v>41816</v>
      </c>
      <c r="J13" s="75">
        <f>J7+J10</f>
        <v>47500</v>
      </c>
      <c r="R13" s="53">
        <f>SUM(F13:Q13)</f>
        <v>219495</v>
      </c>
      <c r="S13" s="53">
        <f>S7+S10</f>
        <v>540000</v>
      </c>
      <c r="T13" s="16" t="s">
        <v>30</v>
      </c>
      <c r="U13" s="18">
        <f>B13+C13+D13+E13+R13</f>
        <v>396245</v>
      </c>
    </row>
    <row r="14" spans="1:21" ht="12.75">
      <c r="A14" s="16" t="s">
        <v>31</v>
      </c>
      <c r="B14" s="55">
        <f aca="true" t="shared" si="3" ref="B14:J14">B13/B28</f>
        <v>0.2915394262312505</v>
      </c>
      <c r="C14" s="55">
        <f t="shared" si="3"/>
        <v>0.3365607745859006</v>
      </c>
      <c r="D14" s="55">
        <f t="shared" si="3"/>
        <v>0.3120678982421336</v>
      </c>
      <c r="E14" s="55">
        <f t="shared" si="3"/>
        <v>0.32713651147192446</v>
      </c>
      <c r="F14" s="55">
        <f t="shared" si="3"/>
        <v>0.32455466418910467</v>
      </c>
      <c r="G14" s="55">
        <f t="shared" si="3"/>
        <v>0.31387786465140965</v>
      </c>
      <c r="H14" s="55">
        <f t="shared" si="3"/>
        <v>0.2967840098077849</v>
      </c>
      <c r="I14" s="55">
        <f t="shared" si="3"/>
        <v>0.31558768924242653</v>
      </c>
      <c r="J14" s="78">
        <f t="shared" si="3"/>
        <v>0.327211606023449</v>
      </c>
      <c r="R14" s="55">
        <f>R13/R28</f>
        <v>0.3142129109375783</v>
      </c>
      <c r="S14" s="55">
        <f>S13/S28</f>
        <v>0.3176470588235294</v>
      </c>
      <c r="T14" s="16" t="s">
        <v>39</v>
      </c>
      <c r="U14" s="74">
        <f>U13/U28</f>
        <v>0.31528513673402647</v>
      </c>
    </row>
    <row r="15" spans="1:21" ht="12.75">
      <c r="A15" s="16"/>
      <c r="B15" s="16"/>
      <c r="C15" s="46"/>
      <c r="D15" s="46"/>
      <c r="E15" s="46"/>
      <c r="F15" s="45"/>
      <c r="G15" s="45"/>
      <c r="J15" s="77"/>
      <c r="R15" s="27"/>
      <c r="S15" s="27"/>
      <c r="T15" s="16"/>
      <c r="U15" s="18">
        <f>C15+D15+E15+R15</f>
        <v>0</v>
      </c>
    </row>
    <row r="16" spans="1:21" ht="12.75">
      <c r="A16" s="16" t="s">
        <v>4</v>
      </c>
      <c r="B16" s="16">
        <v>20317</v>
      </c>
      <c r="C16" s="56">
        <v>16850</v>
      </c>
      <c r="D16" s="56">
        <v>18437</v>
      </c>
      <c r="E16" s="56">
        <v>21511</v>
      </c>
      <c r="F16" s="57">
        <v>12552</v>
      </c>
      <c r="G16" s="57">
        <v>14723</v>
      </c>
      <c r="H16" s="57">
        <v>19874</v>
      </c>
      <c r="I16" s="57">
        <v>13885</v>
      </c>
      <c r="J16" s="75">
        <v>12000</v>
      </c>
      <c r="K16" s="39"/>
      <c r="R16" s="56">
        <f>SUM(F16:Q16)</f>
        <v>73034</v>
      </c>
      <c r="S16" s="27">
        <v>190000</v>
      </c>
      <c r="T16" s="16" t="s">
        <v>4</v>
      </c>
      <c r="U16" s="18">
        <f>B16+C16+D16+E16+R16</f>
        <v>150149</v>
      </c>
    </row>
    <row r="17" spans="1:21" ht="12.75">
      <c r="A17" s="16" t="s">
        <v>31</v>
      </c>
      <c r="B17" s="58">
        <f aca="true" t="shared" si="4" ref="B17:J17">B16/B28</f>
        <v>0.1439523300055974</v>
      </c>
      <c r="C17" s="58">
        <f t="shared" si="4"/>
        <v>0.13483235976634392</v>
      </c>
      <c r="D17" s="58">
        <f t="shared" si="4"/>
        <v>0.1375043816143732</v>
      </c>
      <c r="E17" s="58">
        <f t="shared" si="4"/>
        <v>0.13611283362229337</v>
      </c>
      <c r="F17" s="59">
        <f t="shared" si="4"/>
        <v>0.11213350247458415</v>
      </c>
      <c r="G17" s="59">
        <f t="shared" si="4"/>
        <v>0.11662983119053844</v>
      </c>
      <c r="H17" s="59">
        <f t="shared" si="4"/>
        <v>0.1087722754936731</v>
      </c>
      <c r="I17" s="59">
        <f t="shared" si="4"/>
        <v>0.10479087108119123</v>
      </c>
      <c r="J17" s="78">
        <f t="shared" si="4"/>
        <v>0.08266398467960817</v>
      </c>
      <c r="R17" s="59">
        <f>R16/R28</f>
        <v>0.1045501070066065</v>
      </c>
      <c r="S17" s="59">
        <f>S16/S28</f>
        <v>0.11176470588235295</v>
      </c>
      <c r="T17" s="16" t="s">
        <v>39</v>
      </c>
      <c r="U17" s="59">
        <f>U16/U28</f>
        <v>0.11947090309146448</v>
      </c>
    </row>
    <row r="18" spans="1:21" ht="12.75">
      <c r="A18" s="16"/>
      <c r="B18" s="16"/>
      <c r="C18" s="46"/>
      <c r="D18" s="46"/>
      <c r="E18" s="46"/>
      <c r="F18" s="45"/>
      <c r="G18" s="45"/>
      <c r="J18" s="77"/>
      <c r="R18" s="27"/>
      <c r="S18" s="27"/>
      <c r="T18" s="16"/>
      <c r="U18" s="18">
        <f>C18+D18+E18+R18</f>
        <v>0</v>
      </c>
    </row>
    <row r="19" spans="1:21" ht="12.75">
      <c r="A19" s="16" t="s">
        <v>5</v>
      </c>
      <c r="B19" s="16">
        <v>52179</v>
      </c>
      <c r="C19" s="60">
        <v>44200</v>
      </c>
      <c r="D19" s="60">
        <v>48500</v>
      </c>
      <c r="E19" s="60">
        <v>55172</v>
      </c>
      <c r="F19" s="61">
        <v>43340</v>
      </c>
      <c r="G19" s="61">
        <v>47125</v>
      </c>
      <c r="H19" s="61">
        <v>71505</v>
      </c>
      <c r="I19" s="61">
        <v>53481</v>
      </c>
      <c r="J19" s="75">
        <v>57000</v>
      </c>
      <c r="R19" s="60">
        <f>SUM(F19:Q19)</f>
        <v>272451</v>
      </c>
      <c r="S19" s="27">
        <v>650000</v>
      </c>
      <c r="T19" s="16" t="s">
        <v>5</v>
      </c>
      <c r="U19" s="18">
        <f>B19+C19+D19+E19+R19</f>
        <v>472502</v>
      </c>
    </row>
    <row r="20" spans="1:21" ht="12.75">
      <c r="A20" s="16" t="s">
        <v>31</v>
      </c>
      <c r="B20" s="62">
        <f aca="true" t="shared" si="5" ref="B20:J20">B19/B28</f>
        <v>0.3697046132481206</v>
      </c>
      <c r="C20" s="62">
        <f t="shared" si="5"/>
        <v>0.3536848843722493</v>
      </c>
      <c r="D20" s="62">
        <f t="shared" si="5"/>
        <v>0.36171625038222593</v>
      </c>
      <c r="E20" s="62">
        <f t="shared" si="5"/>
        <v>0.34910591123653806</v>
      </c>
      <c r="F20" s="63">
        <f t="shared" si="5"/>
        <v>0.3871786167342636</v>
      </c>
      <c r="G20" s="63">
        <f t="shared" si="5"/>
        <v>0.3733057661382954</v>
      </c>
      <c r="H20" s="63">
        <f t="shared" si="5"/>
        <v>0.3913536056745041</v>
      </c>
      <c r="I20" s="63">
        <f t="shared" si="5"/>
        <v>0.40362409624005674</v>
      </c>
      <c r="J20" s="76">
        <f t="shared" si="5"/>
        <v>0.3926539272281388</v>
      </c>
      <c r="R20" s="63">
        <f>R19/R28</f>
        <v>0.39002082871069566</v>
      </c>
      <c r="S20" s="63">
        <f>S19/S28</f>
        <v>0.38235294117647056</v>
      </c>
      <c r="T20" s="16" t="s">
        <v>39</v>
      </c>
      <c r="U20" s="63">
        <f>U19/U28</f>
        <v>0.37596148261076096</v>
      </c>
    </row>
    <row r="21" spans="1:21" ht="12.75">
      <c r="A21" s="16"/>
      <c r="B21" s="16"/>
      <c r="C21" s="46"/>
      <c r="D21" s="46"/>
      <c r="E21" s="46"/>
      <c r="F21" s="45"/>
      <c r="G21" s="45"/>
      <c r="J21" s="77"/>
      <c r="R21" s="27"/>
      <c r="S21" s="27"/>
      <c r="T21" s="16"/>
      <c r="U21" s="18">
        <f>C21+D21+E21+R21</f>
        <v>0</v>
      </c>
    </row>
    <row r="22" spans="1:21" ht="12.75">
      <c r="A22" s="16" t="s">
        <v>32</v>
      </c>
      <c r="B22" s="46">
        <f>B16+B19</f>
        <v>72496</v>
      </c>
      <c r="C22" s="46">
        <f aca="true" t="shared" si="6" ref="C22:J22">C16+C19</f>
        <v>61050</v>
      </c>
      <c r="D22" s="46">
        <f t="shared" si="6"/>
        <v>66937</v>
      </c>
      <c r="E22" s="46">
        <f t="shared" si="6"/>
        <v>76683</v>
      </c>
      <c r="F22" s="45">
        <f t="shared" si="6"/>
        <v>55892</v>
      </c>
      <c r="G22" s="45">
        <f t="shared" si="6"/>
        <v>61848</v>
      </c>
      <c r="H22" s="45">
        <f t="shared" si="6"/>
        <v>91379</v>
      </c>
      <c r="I22" s="45">
        <f t="shared" si="6"/>
        <v>67366</v>
      </c>
      <c r="J22" s="75">
        <f t="shared" si="6"/>
        <v>69000</v>
      </c>
      <c r="R22" s="53">
        <f>SUM(F22:Q22)</f>
        <v>345485</v>
      </c>
      <c r="S22" s="46">
        <f>S16+S19</f>
        <v>840000</v>
      </c>
      <c r="T22" s="16" t="s">
        <v>32</v>
      </c>
      <c r="U22" s="18">
        <f>B22+C22+D22+E22+R22</f>
        <v>622651</v>
      </c>
    </row>
    <row r="23" spans="1:21" ht="12.75">
      <c r="A23" s="27"/>
      <c r="B23" s="55">
        <f aca="true" t="shared" si="7" ref="B23:J23">B22/B28</f>
        <v>0.513656943253718</v>
      </c>
      <c r="C23" s="55">
        <f t="shared" si="7"/>
        <v>0.48851724413859327</v>
      </c>
      <c r="D23" s="55">
        <f t="shared" si="7"/>
        <v>0.4992206319965991</v>
      </c>
      <c r="E23" s="55">
        <f t="shared" si="7"/>
        <v>0.48521874485883143</v>
      </c>
      <c r="F23" s="55">
        <f t="shared" si="7"/>
        <v>0.49931211920884777</v>
      </c>
      <c r="G23" s="55">
        <f t="shared" si="7"/>
        <v>0.48993559732883385</v>
      </c>
      <c r="H23" s="55">
        <f t="shared" si="7"/>
        <v>0.5001258811681772</v>
      </c>
      <c r="I23" s="55">
        <f t="shared" si="7"/>
        <v>0.508414967321248</v>
      </c>
      <c r="J23" s="78">
        <f t="shared" si="7"/>
        <v>0.47531791190774697</v>
      </c>
      <c r="R23" s="55">
        <f>R22/R28</f>
        <v>0.49457093571730215</v>
      </c>
      <c r="S23" s="55">
        <f>S22/S28</f>
        <v>0.49411764705882355</v>
      </c>
      <c r="T23" s="27"/>
      <c r="U23" s="74">
        <f>U22/U28</f>
        <v>0.4954323857022254</v>
      </c>
    </row>
    <row r="24" spans="1:21" s="1" customFormat="1" ht="12.75">
      <c r="A24" s="16" t="s">
        <v>33</v>
      </c>
      <c r="B24" s="16">
        <v>5011</v>
      </c>
      <c r="C24" s="64">
        <v>5000</v>
      </c>
      <c r="D24" s="64">
        <v>5000</v>
      </c>
      <c r="E24" s="64">
        <v>4711</v>
      </c>
      <c r="F24" s="65">
        <v>5087</v>
      </c>
      <c r="G24" s="65">
        <v>5148</v>
      </c>
      <c r="H24" s="65">
        <v>6472</v>
      </c>
      <c r="I24" s="65">
        <v>6207</v>
      </c>
      <c r="J24" s="75">
        <v>6000</v>
      </c>
      <c r="K24"/>
      <c r="L24"/>
      <c r="M24"/>
      <c r="N24"/>
      <c r="O24"/>
      <c r="P24"/>
      <c r="Q24"/>
      <c r="R24" s="64">
        <f>SUM(F24:Q24)</f>
        <v>28914</v>
      </c>
      <c r="S24" s="27">
        <v>70000</v>
      </c>
      <c r="T24" s="16" t="s">
        <v>38</v>
      </c>
      <c r="U24" s="18">
        <f>B24+C24+D24+E24+R24</f>
        <v>48636</v>
      </c>
    </row>
    <row r="25" spans="1:21" ht="12.75">
      <c r="A25" s="16" t="s">
        <v>31</v>
      </c>
      <c r="B25" s="66">
        <f aca="true" t="shared" si="8" ref="B25:J25">B24/B28</f>
        <v>0.035504509802532294</v>
      </c>
      <c r="C25" s="66">
        <f t="shared" si="8"/>
        <v>0.04000960230455309</v>
      </c>
      <c r="D25" s="66">
        <f t="shared" si="8"/>
        <v>0.03729033509095113</v>
      </c>
      <c r="E25" s="66">
        <f t="shared" si="8"/>
        <v>0.029809286374163177</v>
      </c>
      <c r="F25" s="67">
        <f t="shared" si="8"/>
        <v>0.045444799799889225</v>
      </c>
      <c r="G25" s="67">
        <f t="shared" si="8"/>
        <v>0.04078043679745241</v>
      </c>
      <c r="H25" s="67">
        <f t="shared" si="8"/>
        <v>0.03542186610622181</v>
      </c>
      <c r="I25" s="67">
        <f t="shared" si="8"/>
        <v>0.04684457593092935</v>
      </c>
      <c r="J25" s="76">
        <f t="shared" si="8"/>
        <v>0.041331992339804086</v>
      </c>
      <c r="R25" s="67">
        <f>R24/R28</f>
        <v>0.04139115746075828</v>
      </c>
      <c r="S25" s="67">
        <f>S24/S28</f>
        <v>0.041176470588235294</v>
      </c>
      <c r="T25" s="16" t="s">
        <v>39</v>
      </c>
      <c r="U25" s="67">
        <f>U24/U28</f>
        <v>0.03869880480560288</v>
      </c>
    </row>
    <row r="26" spans="1:21" ht="12.75">
      <c r="A26" s="27"/>
      <c r="B26" s="27"/>
      <c r="C26" s="46"/>
      <c r="D26" s="46"/>
      <c r="E26" s="46"/>
      <c r="F26" s="45"/>
      <c r="G26" s="45"/>
      <c r="J26" s="77"/>
      <c r="R26" s="27"/>
      <c r="S26" s="27"/>
      <c r="T26" s="27"/>
      <c r="U26" s="18">
        <f>C26+D26+E26+R26</f>
        <v>0</v>
      </c>
    </row>
    <row r="27" spans="1:21" ht="12.75">
      <c r="A27" s="27"/>
      <c r="B27" s="27"/>
      <c r="C27" s="46"/>
      <c r="D27" s="46"/>
      <c r="E27" s="46"/>
      <c r="F27" s="45"/>
      <c r="G27" s="45"/>
      <c r="J27" s="77"/>
      <c r="R27" s="27"/>
      <c r="S27" s="27"/>
      <c r="T27" s="27"/>
      <c r="U27" s="18">
        <f>C27+D27+E27+R27</f>
        <v>0</v>
      </c>
    </row>
    <row r="28" spans="1:21" s="2" customFormat="1" ht="12.75">
      <c r="A28" s="16" t="s">
        <v>34</v>
      </c>
      <c r="B28" s="73">
        <f aca="true" t="shared" si="9" ref="B28:H28">B4+B13+B22+B24</f>
        <v>141137</v>
      </c>
      <c r="C28" s="73">
        <f t="shared" si="9"/>
        <v>124970</v>
      </c>
      <c r="D28" s="73">
        <f t="shared" si="9"/>
        <v>134083</v>
      </c>
      <c r="E28" s="73">
        <f t="shared" si="9"/>
        <v>158038</v>
      </c>
      <c r="F28" s="73">
        <f t="shared" si="9"/>
        <v>111938</v>
      </c>
      <c r="G28" s="73">
        <f t="shared" si="9"/>
        <v>126237</v>
      </c>
      <c r="H28" s="73">
        <f t="shared" si="9"/>
        <v>182712</v>
      </c>
      <c r="I28" s="16">
        <f>I24+I19+I16+I13+I4</f>
        <v>132502</v>
      </c>
      <c r="J28" s="79">
        <f>J24+J19+J16+J13+J4</f>
        <v>145166</v>
      </c>
      <c r="R28" s="16">
        <f>SUM(F28:Q28)</f>
        <v>698555</v>
      </c>
      <c r="S28" s="73">
        <f>S4+S13+S22+S24</f>
        <v>1700000</v>
      </c>
      <c r="T28" s="16" t="s">
        <v>37</v>
      </c>
      <c r="U28" s="18">
        <f>B28+C28+D28+E28+R28</f>
        <v>1256783</v>
      </c>
    </row>
    <row r="29" spans="6:21" ht="12.75">
      <c r="F29" s="70">
        <f>F28/F30</f>
        <v>1.0878434192752116</v>
      </c>
      <c r="G29" s="70">
        <f>G28/G30</f>
        <v>1.0940693169704376</v>
      </c>
      <c r="H29" s="70">
        <f>H28/H30</f>
        <v>1.2422796067392812</v>
      </c>
      <c r="I29" s="70">
        <f>I28/I30</f>
        <v>1.2187005628931975</v>
      </c>
      <c r="J29" s="70">
        <f>J28/J30</f>
        <v>1.1447610185396935</v>
      </c>
      <c r="R29" s="69">
        <f>(R28-R30)/R30</f>
        <v>0.1625281040052056</v>
      </c>
      <c r="S29" s="69">
        <f>(S28-S30)/S30</f>
        <v>0.11181235223523334</v>
      </c>
      <c r="U29" s="69"/>
    </row>
    <row r="30" spans="1:19" ht="12.75">
      <c r="A30" s="16" t="s">
        <v>41</v>
      </c>
      <c r="B30" s="16"/>
      <c r="F30" s="18">
        <v>102899</v>
      </c>
      <c r="G30" s="18">
        <v>115383</v>
      </c>
      <c r="H30" s="18">
        <v>147078</v>
      </c>
      <c r="I30" s="18">
        <v>108724</v>
      </c>
      <c r="J30" s="18">
        <v>126809</v>
      </c>
      <c r="K30" s="18">
        <v>171087</v>
      </c>
      <c r="L30" s="18">
        <v>107547</v>
      </c>
      <c r="M30" s="18">
        <v>91403</v>
      </c>
      <c r="N30" s="18">
        <v>141137</v>
      </c>
      <c r="O30" s="46">
        <v>124981</v>
      </c>
      <c r="P30" s="46">
        <v>133960</v>
      </c>
      <c r="Q30" s="46">
        <v>158027</v>
      </c>
      <c r="R30" s="18">
        <f>F30+G30+H30+I30+J30</f>
        <v>600893</v>
      </c>
      <c r="S30" s="16">
        <f>SUM(F30:Q30)</f>
        <v>1529035</v>
      </c>
    </row>
    <row r="31" spans="1:19" ht="12.75">
      <c r="A31" s="16" t="s">
        <v>40</v>
      </c>
      <c r="B31" s="16"/>
      <c r="F31" s="18">
        <v>18856</v>
      </c>
      <c r="G31" s="18">
        <v>20271</v>
      </c>
      <c r="H31" s="18">
        <v>21069</v>
      </c>
      <c r="I31" s="18">
        <v>17150</v>
      </c>
      <c r="J31" s="18">
        <v>22270</v>
      </c>
      <c r="K31" s="18">
        <v>30381</v>
      </c>
      <c r="L31" s="18">
        <v>17687</v>
      </c>
      <c r="M31" s="18">
        <v>14309</v>
      </c>
      <c r="N31" s="18">
        <v>20314</v>
      </c>
      <c r="O31" s="18">
        <v>16847</v>
      </c>
      <c r="P31" s="18">
        <v>18440</v>
      </c>
      <c r="Q31" s="18">
        <v>21511</v>
      </c>
      <c r="R31" s="16">
        <f>SUM(F31:Q31)</f>
        <v>239105</v>
      </c>
      <c r="S31" s="18"/>
    </row>
    <row r="33" spans="9:10" ht="12.75">
      <c r="I33">
        <v>132509</v>
      </c>
      <c r="J33">
        <v>145536</v>
      </c>
    </row>
    <row r="38" ht="12.75">
      <c r="H38" s="5"/>
    </row>
    <row r="39" ht="12.75">
      <c r="C39">
        <f>SUM(C40:C45)</f>
        <v>141126</v>
      </c>
    </row>
    <row r="40" spans="1:3" ht="12.75">
      <c r="A40" t="s">
        <v>19</v>
      </c>
      <c r="C40">
        <v>52179</v>
      </c>
    </row>
    <row r="41" spans="1:3" ht="12.75">
      <c r="A41" t="s">
        <v>2</v>
      </c>
      <c r="C41">
        <v>29529</v>
      </c>
    </row>
    <row r="42" spans="1:3" ht="12.75">
      <c r="A42" t="s">
        <v>0</v>
      </c>
      <c r="C42">
        <v>22483</v>
      </c>
    </row>
    <row r="43" spans="1:3" ht="12.75">
      <c r="A43" t="s">
        <v>20</v>
      </c>
      <c r="C43">
        <v>20317</v>
      </c>
    </row>
    <row r="44" spans="1:3" ht="12.75">
      <c r="A44" t="s">
        <v>21</v>
      </c>
      <c r="C44">
        <v>11618</v>
      </c>
    </row>
    <row r="45" spans="1:3" ht="12.75">
      <c r="A45" t="s">
        <v>22</v>
      </c>
      <c r="C45">
        <v>5000</v>
      </c>
    </row>
  </sheetData>
  <printOptions gridLines="1"/>
  <pageMargins left="0.2362204724409449" right="0.15748031496062992" top="0.984251968503937" bottom="0.984251968503937" header="0.5118110236220472" footer="0.5118110236220472"/>
  <pageSetup cellComments="asDisplayed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U4" sqref="U4"/>
      <selection activeCell="H29" sqref="H29"/>
    </sheetView>
  </sheetViews>
  <sheetFormatPr defaultColWidth="11.421875" defaultRowHeight="12.75"/>
  <cols>
    <col min="1" max="1" width="15.421875" style="0" customWidth="1"/>
    <col min="2" max="17" width="8.8515625" style="0" customWidth="1"/>
    <col min="18" max="18" width="9.8515625" style="0" customWidth="1"/>
    <col min="19" max="19" width="9.28125" style="0" customWidth="1"/>
  </cols>
  <sheetData>
    <row r="1" spans="1:5" ht="12.75">
      <c r="A1" s="72" t="s">
        <v>10</v>
      </c>
      <c r="B1" s="43"/>
      <c r="D1" s="10"/>
      <c r="E1" s="10"/>
    </row>
    <row r="2" spans="1:3" ht="12.75">
      <c r="A2" s="16" t="s">
        <v>27</v>
      </c>
      <c r="C2" s="16">
        <v>2023</v>
      </c>
    </row>
    <row r="3" spans="1:19" ht="12.75">
      <c r="A3" s="27"/>
      <c r="B3" s="44"/>
      <c r="C3" s="44"/>
      <c r="D3" s="44">
        <v>44927</v>
      </c>
      <c r="E3" s="44">
        <v>44958</v>
      </c>
      <c r="F3" s="44">
        <v>44986</v>
      </c>
      <c r="G3" s="44">
        <v>45017</v>
      </c>
      <c r="H3" s="44">
        <v>45047</v>
      </c>
      <c r="I3" s="44">
        <v>45078</v>
      </c>
      <c r="J3" s="44">
        <v>45108</v>
      </c>
      <c r="K3" s="44">
        <v>45139</v>
      </c>
      <c r="L3" s="44">
        <v>45170</v>
      </c>
      <c r="M3" s="44">
        <v>45200</v>
      </c>
      <c r="N3" s="44">
        <v>45231</v>
      </c>
      <c r="O3" s="44">
        <v>45261</v>
      </c>
      <c r="P3" s="71" t="s">
        <v>36</v>
      </c>
      <c r="Q3" s="85" t="s">
        <v>35</v>
      </c>
      <c r="S3" s="96">
        <v>2022</v>
      </c>
    </row>
    <row r="4" spans="1:19" ht="12.75">
      <c r="A4" s="16" t="s">
        <v>0</v>
      </c>
      <c r="B4" s="16">
        <v>0</v>
      </c>
      <c r="C4" s="16">
        <v>0</v>
      </c>
      <c r="D4" s="16">
        <v>72200</v>
      </c>
      <c r="E4" s="16">
        <v>97100</v>
      </c>
      <c r="F4" s="16">
        <v>151510</v>
      </c>
      <c r="G4" s="80">
        <v>94561</v>
      </c>
      <c r="H4" s="18">
        <f>H5*H29</f>
        <v>0</v>
      </c>
      <c r="P4" s="18">
        <f>SUM(C4:O4)</f>
        <v>415371</v>
      </c>
      <c r="Q4" s="86">
        <v>1300000</v>
      </c>
      <c r="R4" s="16" t="s">
        <v>0</v>
      </c>
      <c r="S4" s="97">
        <f>S5*S29</f>
        <v>1125300</v>
      </c>
    </row>
    <row r="5" spans="1:19" ht="12.75">
      <c r="A5" s="16" t="s">
        <v>31</v>
      </c>
      <c r="B5" s="51" t="e">
        <f aca="true" t="shared" si="0" ref="B5:G5">B4/B28</f>
        <v>#DIV/0!</v>
      </c>
      <c r="C5" s="52" t="e">
        <f t="shared" si="0"/>
        <v>#DIV/0!</v>
      </c>
      <c r="D5" s="52">
        <f t="shared" si="0"/>
        <v>0.0952129763945668</v>
      </c>
      <c r="E5" s="52">
        <f t="shared" si="0"/>
        <v>0.12092154420921544</v>
      </c>
      <c r="F5" s="52">
        <f t="shared" si="0"/>
        <v>0.13912764003673095</v>
      </c>
      <c r="G5" s="52">
        <f t="shared" si="0"/>
        <v>0.11774132295719844</v>
      </c>
      <c r="H5" s="84">
        <v>0.121</v>
      </c>
      <c r="P5" s="52">
        <f>P4/P28</f>
        <v>0.12027798489904949</v>
      </c>
      <c r="Q5" s="87">
        <f>Q4/Q28</f>
        <v>0.12807881773399016</v>
      </c>
      <c r="R5" s="16" t="s">
        <v>39</v>
      </c>
      <c r="S5" s="98">
        <v>0.121</v>
      </c>
    </row>
    <row r="6" spans="1:19" ht="12.75">
      <c r="A6" s="16"/>
      <c r="B6" s="46"/>
      <c r="C6" s="45"/>
      <c r="D6" s="45"/>
      <c r="G6" s="82"/>
      <c r="H6" s="18"/>
      <c r="P6" s="18"/>
      <c r="Q6" s="86"/>
      <c r="R6" s="16"/>
      <c r="S6" s="97"/>
    </row>
    <row r="7" spans="1:19" ht="12.75">
      <c r="A7" s="16" t="s">
        <v>28</v>
      </c>
      <c r="B7" s="16">
        <v>0</v>
      </c>
      <c r="C7" s="16">
        <v>0</v>
      </c>
      <c r="D7" s="16">
        <v>53900</v>
      </c>
      <c r="E7" s="16">
        <v>57700</v>
      </c>
      <c r="F7" s="16">
        <v>78300</v>
      </c>
      <c r="G7" s="80">
        <v>59400</v>
      </c>
      <c r="H7" s="18">
        <f>H8*H29</f>
        <v>0</v>
      </c>
      <c r="P7" s="18">
        <f>SUM(C7:O7)</f>
        <v>249300</v>
      </c>
      <c r="Q7" s="86">
        <v>750000</v>
      </c>
      <c r="R7" s="16" t="s">
        <v>28</v>
      </c>
      <c r="S7" s="97">
        <f>S8*S29</f>
        <v>874200</v>
      </c>
    </row>
    <row r="8" spans="1:19" ht="12.75">
      <c r="A8" s="16" t="s">
        <v>31</v>
      </c>
      <c r="B8" s="47" t="e">
        <f aca="true" t="shared" si="1" ref="B8:G8">B7/B28</f>
        <v>#DIV/0!</v>
      </c>
      <c r="C8" s="48" t="e">
        <f t="shared" si="1"/>
        <v>#DIV/0!</v>
      </c>
      <c r="D8" s="48">
        <f t="shared" si="1"/>
        <v>0.07108004747461427</v>
      </c>
      <c r="E8" s="48">
        <f t="shared" si="1"/>
        <v>0.07185554171855542</v>
      </c>
      <c r="F8" s="48">
        <f t="shared" si="1"/>
        <v>0.07190082644628099</v>
      </c>
      <c r="G8" s="81">
        <f t="shared" si="1"/>
        <v>0.07396108949416343</v>
      </c>
      <c r="H8" s="84">
        <v>0.074</v>
      </c>
      <c r="P8" s="48">
        <f>P7/P28</f>
        <v>0.07218920347191556</v>
      </c>
      <c r="Q8" s="88">
        <f>Q7/Q28</f>
        <v>0.07389162561576355</v>
      </c>
      <c r="R8" s="16" t="s">
        <v>39</v>
      </c>
      <c r="S8" s="98">
        <v>0.094</v>
      </c>
    </row>
    <row r="9" spans="1:19" ht="12.75">
      <c r="A9" s="16"/>
      <c r="B9" s="46"/>
      <c r="C9" s="45"/>
      <c r="D9" s="45"/>
      <c r="G9" s="82"/>
      <c r="H9" s="18"/>
      <c r="P9" s="18"/>
      <c r="Q9" s="86"/>
      <c r="R9" s="16"/>
      <c r="S9" s="97"/>
    </row>
    <row r="10" spans="1:19" ht="12.75">
      <c r="A10" s="16" t="s">
        <v>29</v>
      </c>
      <c r="B10" s="16">
        <v>0</v>
      </c>
      <c r="C10" s="16">
        <v>0</v>
      </c>
      <c r="D10" s="16">
        <v>197600</v>
      </c>
      <c r="E10" s="16">
        <v>204600</v>
      </c>
      <c r="F10" s="16">
        <v>264690</v>
      </c>
      <c r="G10" s="80">
        <v>199407</v>
      </c>
      <c r="H10" s="18">
        <f>H11*H29</f>
        <v>0</v>
      </c>
      <c r="P10" s="18">
        <f>SUM(C10:O10)</f>
        <v>866297</v>
      </c>
      <c r="Q10" s="86">
        <v>2400000</v>
      </c>
      <c r="R10" s="16" t="s">
        <v>29</v>
      </c>
      <c r="S10" s="97">
        <f>S11*S29</f>
        <v>2101800</v>
      </c>
    </row>
    <row r="11" spans="1:19" ht="12.75">
      <c r="A11" s="16" t="s">
        <v>31</v>
      </c>
      <c r="B11" s="47" t="e">
        <f aca="true" t="shared" si="2" ref="B11:G11">B10/B28</f>
        <v>#DIV/0!</v>
      </c>
      <c r="C11" s="48" t="e">
        <f t="shared" si="2"/>
        <v>#DIV/0!</v>
      </c>
      <c r="D11" s="48">
        <f t="shared" si="2"/>
        <v>0.26058288276407754</v>
      </c>
      <c r="E11" s="48">
        <f t="shared" si="2"/>
        <v>0.2547945205479452</v>
      </c>
      <c r="F11" s="48">
        <f t="shared" si="2"/>
        <v>0.24305785123966941</v>
      </c>
      <c r="G11" s="81">
        <f t="shared" si="2"/>
        <v>0.24828887159533075</v>
      </c>
      <c r="H11" s="84">
        <v>0.246</v>
      </c>
      <c r="P11" s="48">
        <f>P10/P28</f>
        <v>0.25085154592904146</v>
      </c>
      <c r="Q11" s="88">
        <f>Q10/Q28</f>
        <v>0.23645320197044334</v>
      </c>
      <c r="R11" s="16" t="s">
        <v>39</v>
      </c>
      <c r="S11" s="98">
        <v>0.226</v>
      </c>
    </row>
    <row r="12" spans="1:19" ht="12.75">
      <c r="A12" s="16"/>
      <c r="B12" s="46"/>
      <c r="C12" s="45"/>
      <c r="D12" s="45"/>
      <c r="G12" s="82"/>
      <c r="H12" s="18"/>
      <c r="P12" s="18"/>
      <c r="Q12" s="86"/>
      <c r="R12" s="16"/>
      <c r="S12" s="97"/>
    </row>
    <row r="13" spans="1:19" ht="12.75">
      <c r="A13" s="16" t="s">
        <v>30</v>
      </c>
      <c r="B13" s="46">
        <f aca="true" t="shared" si="3" ref="B13:H13">B7+B10</f>
        <v>0</v>
      </c>
      <c r="C13" s="46">
        <f t="shared" si="3"/>
        <v>0</v>
      </c>
      <c r="D13" s="46">
        <f t="shared" si="3"/>
        <v>251500</v>
      </c>
      <c r="E13" s="46">
        <f t="shared" si="3"/>
        <v>262300</v>
      </c>
      <c r="F13" s="46">
        <f t="shared" si="3"/>
        <v>342990</v>
      </c>
      <c r="G13" s="80">
        <f t="shared" si="3"/>
        <v>258807</v>
      </c>
      <c r="H13" s="80">
        <f t="shared" si="3"/>
        <v>0</v>
      </c>
      <c r="P13" s="18">
        <f>SUM(C13:O13)</f>
        <v>1115597</v>
      </c>
      <c r="Q13" s="89">
        <f>Q7+Q10</f>
        <v>3150000</v>
      </c>
      <c r="R13" s="16" t="s">
        <v>30</v>
      </c>
      <c r="S13" s="99">
        <f>S7+S10</f>
        <v>2976000</v>
      </c>
    </row>
    <row r="14" spans="1:19" ht="12.75">
      <c r="A14" s="16" t="s">
        <v>31</v>
      </c>
      <c r="B14" s="55" t="e">
        <f aca="true" t="shared" si="4" ref="B14:H14">B13/B28</f>
        <v>#DIV/0!</v>
      </c>
      <c r="C14" s="55" t="e">
        <f t="shared" si="4"/>
        <v>#DIV/0!</v>
      </c>
      <c r="D14" s="55">
        <f t="shared" si="4"/>
        <v>0.3316629302386918</v>
      </c>
      <c r="E14" s="55">
        <f t="shared" si="4"/>
        <v>0.3266500622665006</v>
      </c>
      <c r="F14" s="55">
        <f t="shared" si="4"/>
        <v>0.31495867768595043</v>
      </c>
      <c r="G14" s="55">
        <f t="shared" si="4"/>
        <v>0.32224996108949416</v>
      </c>
      <c r="H14" s="55" t="e">
        <f t="shared" si="4"/>
        <v>#DIV/0!</v>
      </c>
      <c r="P14" s="74">
        <f>P13/P28</f>
        <v>0.323040749400957</v>
      </c>
      <c r="Q14" s="90">
        <f>Q13/Q28</f>
        <v>0.3103448275862069</v>
      </c>
      <c r="R14" s="16" t="s">
        <v>39</v>
      </c>
      <c r="S14" s="100">
        <f>S13/S28</f>
        <v>0.3203203203203203</v>
      </c>
    </row>
    <row r="15" spans="1:19" ht="12.75">
      <c r="A15" s="16"/>
      <c r="B15" s="46"/>
      <c r="C15" s="45"/>
      <c r="D15" s="45"/>
      <c r="G15" s="82"/>
      <c r="H15" s="18"/>
      <c r="P15" s="18"/>
      <c r="Q15" s="86"/>
      <c r="R15" s="16"/>
      <c r="S15" s="97"/>
    </row>
    <row r="16" spans="1:19" ht="12.75">
      <c r="A16" s="16" t="s">
        <v>4</v>
      </c>
      <c r="B16" s="16">
        <v>0</v>
      </c>
      <c r="C16" s="16">
        <v>0</v>
      </c>
      <c r="D16" s="16">
        <v>120800</v>
      </c>
      <c r="E16" s="16">
        <v>120300</v>
      </c>
      <c r="F16" s="16">
        <v>157500</v>
      </c>
      <c r="G16" s="80">
        <v>118000</v>
      </c>
      <c r="H16" s="18">
        <f>H17*H29</f>
        <v>0</v>
      </c>
      <c r="P16" s="18">
        <f>SUM(C16:O16)</f>
        <v>516600</v>
      </c>
      <c r="Q16" s="86">
        <v>1500000</v>
      </c>
      <c r="R16" s="16" t="s">
        <v>4</v>
      </c>
      <c r="S16" s="97">
        <f>S17*S29</f>
        <v>1525200</v>
      </c>
    </row>
    <row r="17" spans="1:19" ht="12.75">
      <c r="A17" s="16" t="s">
        <v>31</v>
      </c>
      <c r="B17" s="58" t="e">
        <f aca="true" t="shared" si="5" ref="B17:G17">B16/B28</f>
        <v>#DIV/0!</v>
      </c>
      <c r="C17" s="59" t="e">
        <f t="shared" si="5"/>
        <v>#DIV/0!</v>
      </c>
      <c r="D17" s="59">
        <f t="shared" si="5"/>
        <v>0.15930370565739152</v>
      </c>
      <c r="E17" s="59">
        <f t="shared" si="5"/>
        <v>0.14981320049813202</v>
      </c>
      <c r="F17" s="59">
        <f t="shared" si="5"/>
        <v>0.1446280991735537</v>
      </c>
      <c r="G17" s="59">
        <f t="shared" si="5"/>
        <v>0.1469260700389105</v>
      </c>
      <c r="H17" s="84">
        <v>0.144</v>
      </c>
      <c r="P17" s="59">
        <f>P16/P28</f>
        <v>0.14959062380100915</v>
      </c>
      <c r="Q17" s="91">
        <f>Q16/Q28</f>
        <v>0.1477832512315271</v>
      </c>
      <c r="R17" s="16" t="s">
        <v>39</v>
      </c>
      <c r="S17" s="98">
        <v>0.164</v>
      </c>
    </row>
    <row r="18" spans="1:19" ht="12.75">
      <c r="A18" s="16"/>
      <c r="B18" s="46"/>
      <c r="C18" s="45"/>
      <c r="D18" s="45"/>
      <c r="G18" s="82"/>
      <c r="H18" s="18"/>
      <c r="P18" s="18"/>
      <c r="Q18" s="86"/>
      <c r="R18" s="16"/>
      <c r="S18" s="97"/>
    </row>
    <row r="19" spans="1:19" ht="12.75">
      <c r="A19" s="16" t="s">
        <v>5</v>
      </c>
      <c r="B19" s="16">
        <v>0</v>
      </c>
      <c r="C19" s="16">
        <v>0</v>
      </c>
      <c r="D19" s="16">
        <v>288000</v>
      </c>
      <c r="E19" s="16">
        <v>296100</v>
      </c>
      <c r="F19" s="16">
        <v>408000</v>
      </c>
      <c r="G19" s="80">
        <v>306757</v>
      </c>
      <c r="H19" s="18">
        <f>H20*H29</f>
        <v>0</v>
      </c>
      <c r="P19" s="18">
        <f>SUM(C19:O19)</f>
        <v>1298857</v>
      </c>
      <c r="Q19" s="86">
        <v>3900000</v>
      </c>
      <c r="R19" s="16" t="s">
        <v>5</v>
      </c>
      <c r="S19" s="97">
        <f>S20*S29</f>
        <v>3385200</v>
      </c>
    </row>
    <row r="20" spans="1:19" ht="12.75">
      <c r="A20" s="16" t="s">
        <v>31</v>
      </c>
      <c r="B20" s="62" t="e">
        <f aca="true" t="shared" si="6" ref="B20:G20">B19/B28</f>
        <v>#DIV/0!</v>
      </c>
      <c r="C20" s="63" t="e">
        <f t="shared" si="6"/>
        <v>#DIV/0!</v>
      </c>
      <c r="D20" s="63">
        <f t="shared" si="6"/>
        <v>0.37979691415007255</v>
      </c>
      <c r="E20" s="63">
        <f t="shared" si="6"/>
        <v>0.3687422166874222</v>
      </c>
      <c r="F20" s="63">
        <f t="shared" si="6"/>
        <v>0.3746556473829201</v>
      </c>
      <c r="G20" s="63">
        <f t="shared" si="6"/>
        <v>0.38195424124513616</v>
      </c>
      <c r="H20" s="84">
        <v>0.384</v>
      </c>
      <c r="P20" s="63">
        <f>P19/P28</f>
        <v>0.3761069083590928</v>
      </c>
      <c r="Q20" s="92">
        <f>Q19/Q28</f>
        <v>0.3842364532019704</v>
      </c>
      <c r="R20" s="16" t="s">
        <v>39</v>
      </c>
      <c r="S20" s="98">
        <v>0.364</v>
      </c>
    </row>
    <row r="21" spans="1:19" ht="12.75">
      <c r="A21" s="16"/>
      <c r="B21" s="46"/>
      <c r="C21" s="45"/>
      <c r="D21" s="45"/>
      <c r="G21" s="82"/>
      <c r="H21" s="18"/>
      <c r="P21" s="18"/>
      <c r="Q21" s="86"/>
      <c r="R21" s="16"/>
      <c r="S21" s="97"/>
    </row>
    <row r="22" spans="1:19" ht="12.75">
      <c r="A22" s="16" t="s">
        <v>32</v>
      </c>
      <c r="B22" s="46">
        <f aca="true" t="shared" si="7" ref="B22:G22">B16+B19</f>
        <v>0</v>
      </c>
      <c r="C22" s="45">
        <f t="shared" si="7"/>
        <v>0</v>
      </c>
      <c r="D22" s="45">
        <f t="shared" si="7"/>
        <v>408800</v>
      </c>
      <c r="E22" s="45">
        <f t="shared" si="7"/>
        <v>416400</v>
      </c>
      <c r="F22" s="45">
        <f t="shared" si="7"/>
        <v>565500</v>
      </c>
      <c r="G22" s="80">
        <f t="shared" si="7"/>
        <v>424757</v>
      </c>
      <c r="H22" s="80">
        <f>H16+H19</f>
        <v>0</v>
      </c>
      <c r="P22" s="18">
        <f>SUM(C22:O22)</f>
        <v>1815457</v>
      </c>
      <c r="Q22" s="93">
        <f>Q16+Q19</f>
        <v>5400000</v>
      </c>
      <c r="R22" s="16" t="s">
        <v>32</v>
      </c>
      <c r="S22" s="99">
        <f>S16+S19</f>
        <v>4910400</v>
      </c>
    </row>
    <row r="23" spans="1:19" ht="12.75">
      <c r="A23" s="27"/>
      <c r="B23" s="55" t="e">
        <f aca="true" t="shared" si="8" ref="B23:H23">B22/B28</f>
        <v>#DIV/0!</v>
      </c>
      <c r="C23" s="55" t="e">
        <f t="shared" si="8"/>
        <v>#DIV/0!</v>
      </c>
      <c r="D23" s="55">
        <f t="shared" si="8"/>
        <v>0.539100619807464</v>
      </c>
      <c r="E23" s="55">
        <f t="shared" si="8"/>
        <v>0.5185554171855542</v>
      </c>
      <c r="F23" s="55">
        <f t="shared" si="8"/>
        <v>0.5192837465564738</v>
      </c>
      <c r="G23" s="55">
        <f t="shared" si="8"/>
        <v>0.5288803112840467</v>
      </c>
      <c r="H23" s="55" t="e">
        <f t="shared" si="8"/>
        <v>#DIV/0!</v>
      </c>
      <c r="P23" s="74">
        <f>P22/P28</f>
        <v>0.525697532160102</v>
      </c>
      <c r="Q23" s="90">
        <f>Q22/Q28</f>
        <v>0.5320197044334976</v>
      </c>
      <c r="R23" s="27"/>
      <c r="S23" s="100">
        <f>S22/S28</f>
        <v>0.5285285285285285</v>
      </c>
    </row>
    <row r="24" spans="1:19" s="1" customFormat="1" ht="12.75">
      <c r="A24" s="16" t="s">
        <v>33</v>
      </c>
      <c r="B24" s="16">
        <v>0</v>
      </c>
      <c r="C24" s="16">
        <v>0</v>
      </c>
      <c r="D24" s="16">
        <v>25800</v>
      </c>
      <c r="E24" s="16">
        <v>27200</v>
      </c>
      <c r="F24" s="16">
        <v>29000</v>
      </c>
      <c r="G24" s="80">
        <v>25000</v>
      </c>
      <c r="H24" s="18">
        <f>H25*H29</f>
        <v>0</v>
      </c>
      <c r="I24"/>
      <c r="J24"/>
      <c r="K24"/>
      <c r="L24"/>
      <c r="M24"/>
      <c r="N24"/>
      <c r="O24"/>
      <c r="P24" s="18">
        <f>SUM(C24:O24)</f>
        <v>107000</v>
      </c>
      <c r="Q24" s="86">
        <v>300000</v>
      </c>
      <c r="R24" s="16" t="s">
        <v>38</v>
      </c>
      <c r="S24" s="97">
        <f>S25*S29</f>
        <v>279000</v>
      </c>
    </row>
    <row r="25" spans="1:19" ht="12.75">
      <c r="A25" s="16" t="s">
        <v>31</v>
      </c>
      <c r="B25" s="66" t="e">
        <f aca="true" t="shared" si="9" ref="B25:G25">B24/B28</f>
        <v>#DIV/0!</v>
      </c>
      <c r="C25" s="67" t="e">
        <f t="shared" si="9"/>
        <v>#DIV/0!</v>
      </c>
      <c r="D25" s="67">
        <f t="shared" si="9"/>
        <v>0.03402347355927733</v>
      </c>
      <c r="E25" s="67">
        <f t="shared" si="9"/>
        <v>0.033872976338729766</v>
      </c>
      <c r="F25" s="67">
        <f t="shared" si="9"/>
        <v>0.02662993572084481</v>
      </c>
      <c r="G25" s="67">
        <f t="shared" si="9"/>
        <v>0.0311284046692607</v>
      </c>
      <c r="H25" s="84">
        <v>0.03</v>
      </c>
      <c r="P25" s="67">
        <f>P24/P28</f>
        <v>0.030983733539891558</v>
      </c>
      <c r="Q25" s="94">
        <f>Q24/Q28</f>
        <v>0.029556650246305417</v>
      </c>
      <c r="R25" s="16" t="s">
        <v>39</v>
      </c>
      <c r="S25" s="98">
        <v>0.03</v>
      </c>
    </row>
    <row r="26" spans="1:19" ht="12.75">
      <c r="A26" s="27"/>
      <c r="B26" s="46"/>
      <c r="C26" s="45"/>
      <c r="D26" s="45"/>
      <c r="G26" s="82"/>
      <c r="H26" s="18"/>
      <c r="P26" s="18"/>
      <c r="Q26" s="86"/>
      <c r="R26" s="27"/>
      <c r="S26" s="97"/>
    </row>
    <row r="27" spans="1:19" ht="12.75">
      <c r="A27" s="27"/>
      <c r="B27" s="46"/>
      <c r="C27" s="45"/>
      <c r="D27" s="45"/>
      <c r="G27" s="82"/>
      <c r="H27" s="18"/>
      <c r="P27" s="18"/>
      <c r="Q27" s="86"/>
      <c r="R27" s="27"/>
      <c r="S27" s="97"/>
    </row>
    <row r="28" spans="1:19" s="2" customFormat="1" ht="12.75">
      <c r="A28" s="16" t="s">
        <v>34</v>
      </c>
      <c r="B28" s="73">
        <f>B4+B13+B22+B24</f>
        <v>0</v>
      </c>
      <c r="C28" s="73">
        <f>C4+C13+C22+C24</f>
        <v>0</v>
      </c>
      <c r="D28" s="73">
        <f>D4+D13+D22+D24</f>
        <v>758300</v>
      </c>
      <c r="E28" s="73">
        <f>E4+E13+E22+E24</f>
        <v>803000</v>
      </c>
      <c r="F28" s="16">
        <f>F24+F19+F16+F13+F4</f>
        <v>1089000</v>
      </c>
      <c r="G28" s="83">
        <f>G24+G19+G16+G13+G4</f>
        <v>803125</v>
      </c>
      <c r="H28" s="102">
        <f>H24+H19+H16+H13+H4</f>
        <v>0</v>
      </c>
      <c r="P28" s="18">
        <f>SUM(C28:O28)</f>
        <v>3453425</v>
      </c>
      <c r="Q28" s="95">
        <f>Q4+Q13+Q22+Q24</f>
        <v>10150000</v>
      </c>
      <c r="R28" s="16" t="s">
        <v>37</v>
      </c>
      <c r="S28" s="101">
        <f>S24+S19+S16+S13+S4</f>
        <v>9290700</v>
      </c>
    </row>
    <row r="29" spans="8:19" ht="12.75">
      <c r="H29" s="18">
        <v>0</v>
      </c>
      <c r="S29" s="18">
        <v>9300000</v>
      </c>
    </row>
    <row r="33" ht="12.75">
      <c r="E33" s="13"/>
    </row>
    <row r="34" ht="12.75">
      <c r="B34">
        <f>SUM(B35:B40)</f>
        <v>141126</v>
      </c>
    </row>
    <row r="35" spans="1:2" ht="12.75">
      <c r="A35" t="s">
        <v>19</v>
      </c>
      <c r="B35">
        <v>52179</v>
      </c>
    </row>
    <row r="36" spans="1:2" ht="12.75">
      <c r="A36" t="s">
        <v>2</v>
      </c>
      <c r="B36">
        <v>29529</v>
      </c>
    </row>
    <row r="37" spans="1:2" ht="12.75">
      <c r="A37" t="s">
        <v>0</v>
      </c>
      <c r="B37">
        <v>22483</v>
      </c>
    </row>
    <row r="38" spans="1:2" ht="12.75">
      <c r="A38" t="s">
        <v>20</v>
      </c>
      <c r="B38">
        <v>20317</v>
      </c>
    </row>
    <row r="39" spans="1:2" ht="12.75">
      <c r="A39" t="s">
        <v>21</v>
      </c>
      <c r="B39">
        <v>11618</v>
      </c>
    </row>
    <row r="40" spans="1:2" ht="12.75">
      <c r="A40" t="s">
        <v>22</v>
      </c>
      <c r="B40">
        <v>5000</v>
      </c>
    </row>
  </sheetData>
  <printOptions gridLines="1"/>
  <pageMargins left="0.2362204724409449" right="0.15748031496062992" top="0.984251968503937" bottom="0.984251968503937" header="0.5118110236220472" footer="0.5118110236220472"/>
  <pageSetup cellComments="asDisplayed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</dc:creator>
  <cp:keywords/>
  <dc:description/>
  <cp:lastModifiedBy>Francois</cp:lastModifiedBy>
  <cp:lastPrinted>2023-05-30T07:27:22Z</cp:lastPrinted>
  <dcterms:created xsi:type="dcterms:W3CDTF">2015-01-26T13:05:27Z</dcterms:created>
  <dcterms:modified xsi:type="dcterms:W3CDTF">2023-06-07T09:55:58Z</dcterms:modified>
  <cp:category/>
  <cp:version/>
  <cp:contentType/>
  <cp:contentStatus/>
</cp:coreProperties>
</file>